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-276" windowWidth="23088" windowHeight="5856" firstSheet="5" activeTab="5"/>
  </bookViews>
  <sheets>
    <sheet name="2018" sheetId="2" state="hidden" r:id="rId1"/>
    <sheet name="2019" sheetId="4" state="hidden" r:id="rId2"/>
    <sheet name="2022" sheetId="3" state="hidden" r:id="rId3"/>
    <sheet name="2023" sheetId="7" state="hidden" r:id="rId4"/>
    <sheet name="2024" sheetId="5" state="hidden" r:id="rId5"/>
    <sheet name="2026" sheetId="9" r:id="rId6"/>
    <sheet name="2027" sheetId="10" r:id="rId7"/>
    <sheet name="2028" sheetId="11" r:id="rId8"/>
  </sheets>
  <definedNames>
    <definedName name="_xlnm._FilterDatabase" localSheetId="1" hidden="1">'2019'!$A$6:$N$26</definedName>
    <definedName name="_xlnm._FilterDatabase" localSheetId="4" hidden="1">'2024'!$A$8:$O$29</definedName>
    <definedName name="_xlnm.Print_Area" localSheetId="0">'2018'!$A$1:$K$29</definedName>
    <definedName name="_xlnm.Print_Area" localSheetId="1">'2019'!$A$1:$N$26</definedName>
    <definedName name="_xlnm.Print_Area" localSheetId="2">'2022'!$A$1:$O$46</definedName>
    <definedName name="_xlnm.Print_Area" localSheetId="3">'2023'!$A$1:$S$30</definedName>
  </definedNames>
  <calcPr calcId="125725"/>
</workbook>
</file>

<file path=xl/calcChain.xml><?xml version="1.0" encoding="utf-8"?>
<calcChain xmlns="http://schemas.openxmlformats.org/spreadsheetml/2006/main">
  <c r="K27" i="11"/>
  <c r="K26"/>
  <c r="K25"/>
  <c r="K24"/>
  <c r="K23"/>
  <c r="K22"/>
  <c r="K21"/>
  <c r="K20"/>
  <c r="K19"/>
  <c r="K18"/>
  <c r="K17"/>
  <c r="K15"/>
  <c r="B16"/>
  <c r="B16" i="10"/>
  <c r="B16" i="9"/>
  <c r="K11" i="11"/>
  <c r="K12"/>
  <c r="K13"/>
  <c r="K14"/>
  <c r="C10"/>
  <c r="K10" s="1"/>
  <c r="B9"/>
  <c r="J27" i="10"/>
  <c r="J26"/>
  <c r="J25"/>
  <c r="J24"/>
  <c r="J23"/>
  <c r="J22"/>
  <c r="J21"/>
  <c r="J20"/>
  <c r="J19"/>
  <c r="J18"/>
  <c r="J17"/>
  <c r="J15"/>
  <c r="J14"/>
  <c r="J13"/>
  <c r="J12"/>
  <c r="J11"/>
  <c r="I27" i="9"/>
  <c r="I26"/>
  <c r="I25"/>
  <c r="I24"/>
  <c r="I23"/>
  <c r="I22"/>
  <c r="I21"/>
  <c r="I20"/>
  <c r="I19"/>
  <c r="I18"/>
  <c r="I17"/>
  <c r="I15"/>
  <c r="I14"/>
  <c r="I13"/>
  <c r="I12"/>
  <c r="I11"/>
  <c r="C10" i="10"/>
  <c r="J10" s="1"/>
  <c r="B9"/>
  <c r="C10" i="9"/>
  <c r="I10" s="1"/>
  <c r="B9"/>
  <c r="B28" i="10" l="1"/>
  <c r="J16"/>
  <c r="B28" i="9"/>
  <c r="K16" i="11"/>
  <c r="I16" i="9"/>
  <c r="B28" i="11"/>
  <c r="K9"/>
  <c r="J9" i="10"/>
  <c r="I9" i="9"/>
  <c r="J28" i="10" l="1"/>
  <c r="K28" i="11"/>
  <c r="I28" i="9"/>
  <c r="B23" i="7" l="1"/>
  <c r="B15"/>
  <c r="B8"/>
  <c r="B28" l="1"/>
  <c r="B24" i="5"/>
  <c r="B16"/>
  <c r="B9"/>
  <c r="B29" l="1"/>
  <c r="C16" i="7" l="1"/>
  <c r="P16" s="1"/>
  <c r="S16" s="1"/>
  <c r="C17"/>
  <c r="Q17" s="1"/>
  <c r="C19"/>
  <c r="P19" s="1"/>
  <c r="S19" s="1"/>
  <c r="C12"/>
  <c r="P12" s="1"/>
  <c r="S12" s="1"/>
  <c r="C20"/>
  <c r="P20" s="1"/>
  <c r="S20" s="1"/>
  <c r="C22"/>
  <c r="Q22" s="1"/>
  <c r="C9"/>
  <c r="P9" s="1"/>
  <c r="C11"/>
  <c r="P11" s="1"/>
  <c r="S11" s="1"/>
  <c r="C13"/>
  <c r="P13" s="1"/>
  <c r="S13" s="1"/>
  <c r="C14"/>
  <c r="C10"/>
  <c r="P10" s="1"/>
  <c r="S10" s="1"/>
  <c r="C18"/>
  <c r="Q18" s="1"/>
  <c r="Q23"/>
  <c r="C24"/>
  <c r="Q24" s="1"/>
  <c r="C25"/>
  <c r="Q25" s="1"/>
  <c r="C26"/>
  <c r="P26" s="1"/>
  <c r="S26" s="1"/>
  <c r="C21"/>
  <c r="P21" s="1"/>
  <c r="S21" s="1"/>
  <c r="C27"/>
  <c r="Q27" s="1"/>
  <c r="Q28"/>
  <c r="B24" i="3"/>
  <c r="B16"/>
  <c r="B9"/>
  <c r="Q19" i="7" l="1"/>
  <c r="B29" i="3"/>
  <c r="S9" i="7"/>
  <c r="Q9"/>
  <c r="Q14"/>
  <c r="P14"/>
  <c r="S14" s="1"/>
  <c r="P25"/>
  <c r="S25" s="1"/>
  <c r="Q26"/>
  <c r="Q11"/>
  <c r="Q12"/>
  <c r="P24"/>
  <c r="S24" s="1"/>
  <c r="P18"/>
  <c r="S18" s="1"/>
  <c r="P27"/>
  <c r="S27" s="1"/>
  <c r="P22"/>
  <c r="S22" s="1"/>
  <c r="Q10"/>
  <c r="P17"/>
  <c r="S17" s="1"/>
  <c r="Q21"/>
  <c r="Q13"/>
  <c r="Q20"/>
  <c r="Q16"/>
  <c r="C18" i="3"/>
  <c r="S8" i="7" l="1"/>
  <c r="P8"/>
  <c r="S23"/>
  <c r="S15"/>
  <c r="P15"/>
  <c r="P23"/>
  <c r="S28" l="1"/>
  <c r="P28"/>
  <c r="P16" i="3"/>
  <c r="P29"/>
  <c r="C28"/>
  <c r="P28" s="1"/>
  <c r="C22"/>
  <c r="O22" s="1"/>
  <c r="C27"/>
  <c r="O27" s="1"/>
  <c r="C26"/>
  <c r="O26" s="1"/>
  <c r="C25"/>
  <c r="O25" s="1"/>
  <c r="C19"/>
  <c r="O19" s="1"/>
  <c r="C11"/>
  <c r="O11" s="1"/>
  <c r="C15"/>
  <c r="O15" s="1"/>
  <c r="C14"/>
  <c r="O14" s="1"/>
  <c r="C12"/>
  <c r="O12" s="1"/>
  <c r="C10"/>
  <c r="O10" s="1"/>
  <c r="C23"/>
  <c r="O23" s="1"/>
  <c r="C21"/>
  <c r="O21" s="1"/>
  <c r="C13"/>
  <c r="O13" s="1"/>
  <c r="C20"/>
  <c r="O20" s="1"/>
  <c r="O18"/>
  <c r="C17"/>
  <c r="M20" i="4"/>
  <c r="M7"/>
  <c r="O9" i="3" l="1"/>
  <c r="Q9"/>
  <c r="O17"/>
  <c r="O16" s="1"/>
  <c r="O28"/>
  <c r="O24" s="1"/>
  <c r="P15"/>
  <c r="P25"/>
  <c r="P18"/>
  <c r="P23"/>
  <c r="P17"/>
  <c r="P26"/>
  <c r="P11"/>
  <c r="P10"/>
  <c r="P20"/>
  <c r="P27"/>
  <c r="P19"/>
  <c r="P12"/>
  <c r="P13"/>
  <c r="P22"/>
  <c r="P14"/>
  <c r="P21"/>
  <c r="M26" i="4"/>
  <c r="O29" i="3" l="1"/>
  <c r="B20" i="4"/>
  <c r="B7"/>
  <c r="B26" l="1"/>
  <c r="C28" i="5" l="1"/>
  <c r="Q28" s="1"/>
  <c r="S28" s="1"/>
  <c r="C22"/>
  <c r="Q22" s="1"/>
  <c r="S22" s="1"/>
  <c r="C27"/>
  <c r="Q27" s="1"/>
  <c r="S27" s="1"/>
  <c r="C26"/>
  <c r="Q26" s="1"/>
  <c r="S26" s="1"/>
  <c r="C25"/>
  <c r="Q25" s="1"/>
  <c r="S25" s="1"/>
  <c r="C19"/>
  <c r="Q19" s="1"/>
  <c r="S19" s="1"/>
  <c r="C11"/>
  <c r="Q11" s="1"/>
  <c r="S11" s="1"/>
  <c r="C15"/>
  <c r="Q15" s="1"/>
  <c r="S15" s="1"/>
  <c r="C14"/>
  <c r="Q14" s="1"/>
  <c r="S14" s="1"/>
  <c r="C12"/>
  <c r="Q12" s="1"/>
  <c r="S12" s="1"/>
  <c r="C10"/>
  <c r="Q10" s="1"/>
  <c r="S10" s="1"/>
  <c r="C23"/>
  <c r="Q23" s="1"/>
  <c r="S23" s="1"/>
  <c r="C21"/>
  <c r="Q21" s="1"/>
  <c r="S21" s="1"/>
  <c r="C13"/>
  <c r="Q13" s="1"/>
  <c r="S13" s="1"/>
  <c r="C20"/>
  <c r="Q20" s="1"/>
  <c r="S20" s="1"/>
  <c r="C18"/>
  <c r="Q18" s="1"/>
  <c r="S18" s="1"/>
  <c r="C17"/>
  <c r="S24" l="1"/>
  <c r="S9"/>
  <c r="Q9"/>
  <c r="Q24"/>
  <c r="Q17"/>
  <c r="C25" i="4"/>
  <c r="L25" s="1"/>
  <c r="N25" s="1"/>
  <c r="C24"/>
  <c r="L24" s="1"/>
  <c r="N24" s="1"/>
  <c r="C23"/>
  <c r="L23" s="1"/>
  <c r="N23" s="1"/>
  <c r="C22"/>
  <c r="L22" s="1"/>
  <c r="N22" s="1"/>
  <c r="C21"/>
  <c r="L21" s="1"/>
  <c r="N21" s="1"/>
  <c r="C19"/>
  <c r="L19" s="1"/>
  <c r="N19" s="1"/>
  <c r="C18"/>
  <c r="L18" s="1"/>
  <c r="N18" s="1"/>
  <c r="C17"/>
  <c r="L17" s="1"/>
  <c r="N17" s="1"/>
  <c r="C16"/>
  <c r="L16" s="1"/>
  <c r="N16" s="1"/>
  <c r="C15"/>
  <c r="L15" s="1"/>
  <c r="N15" s="1"/>
  <c r="C14"/>
  <c r="L14" s="1"/>
  <c r="N14" s="1"/>
  <c r="C13"/>
  <c r="L13" s="1"/>
  <c r="N13" s="1"/>
  <c r="C12"/>
  <c r="L12" s="1"/>
  <c r="N12" s="1"/>
  <c r="C11"/>
  <c r="L11" s="1"/>
  <c r="N11" s="1"/>
  <c r="C10"/>
  <c r="L10" s="1"/>
  <c r="N10" s="1"/>
  <c r="C9"/>
  <c r="L9" s="1"/>
  <c r="N9" s="1"/>
  <c r="C8"/>
  <c r="C16" i="2"/>
  <c r="K16" s="1"/>
  <c r="C25"/>
  <c r="K25" s="1"/>
  <c r="C24"/>
  <c r="K24" s="1"/>
  <c r="C23"/>
  <c r="K23" s="1"/>
  <c r="C22"/>
  <c r="K22" s="1"/>
  <c r="C21"/>
  <c r="K21" s="1"/>
  <c r="C19"/>
  <c r="K19" s="1"/>
  <c r="C18"/>
  <c r="K18" s="1"/>
  <c r="C17"/>
  <c r="K17" s="1"/>
  <c r="C9"/>
  <c r="K9" s="1"/>
  <c r="C10"/>
  <c r="K10" s="1"/>
  <c r="C11"/>
  <c r="K11" s="1"/>
  <c r="C12"/>
  <c r="K12" s="1"/>
  <c r="C13"/>
  <c r="K13" s="1"/>
  <c r="C14"/>
  <c r="K14" s="1"/>
  <c r="C15"/>
  <c r="K15" s="1"/>
  <c r="C8"/>
  <c r="B20"/>
  <c r="B7"/>
  <c r="Q16" i="5" l="1"/>
  <c r="Q29" s="1"/>
  <c r="S17"/>
  <c r="S16" s="1"/>
  <c r="S29" s="1"/>
  <c r="L8" i="4"/>
  <c r="N8" s="1"/>
  <c r="N7" s="1"/>
  <c r="O8"/>
  <c r="K8" i="2"/>
  <c r="K7" s="1"/>
  <c r="L8"/>
  <c r="N20" i="4"/>
  <c r="L20"/>
  <c r="K20" i="2"/>
  <c r="B26"/>
  <c r="N26" i="4" l="1"/>
  <c r="L7"/>
  <c r="L26" s="1"/>
  <c r="K26" i="2"/>
</calcChain>
</file>

<file path=xl/sharedStrings.xml><?xml version="1.0" encoding="utf-8"?>
<sst xmlns="http://schemas.openxmlformats.org/spreadsheetml/2006/main" count="311" uniqueCount="85">
  <si>
    <t>г. Апатиты с подведомственной территорией</t>
  </si>
  <si>
    <t>г. Кировск с подведомственной территорией</t>
  </si>
  <si>
    <t>г. Мончегорск с подведомственной территорией</t>
  </si>
  <si>
    <t>г. Мурманск</t>
  </si>
  <si>
    <t>г. Оленегорск с подведомственной территорией</t>
  </si>
  <si>
    <t>г. Полярные Зори с подведомственной территорией</t>
  </si>
  <si>
    <t>ЗАТО Александровск</t>
  </si>
  <si>
    <t>ЗАТО г. Заозерск</t>
  </si>
  <si>
    <t>ЗАТО г. Островной</t>
  </si>
  <si>
    <t>ЗАТО г. Североморск</t>
  </si>
  <si>
    <t>ЗАТО п. Видяево</t>
  </si>
  <si>
    <t>Ковдорский район</t>
  </si>
  <si>
    <t>Муниципальные районы - итого</t>
  </si>
  <si>
    <t>Кандалакшский район</t>
  </si>
  <si>
    <t>Кольский район</t>
  </si>
  <si>
    <t>Ловозерский район</t>
  </si>
  <si>
    <t>Печенгский район</t>
  </si>
  <si>
    <t>Терский район</t>
  </si>
  <si>
    <t>тыс. рублей</t>
  </si>
  <si>
    <t>Муниципальные образования</t>
  </si>
  <si>
    <t>Городские округа:</t>
  </si>
  <si>
    <t>ИТОГО</t>
  </si>
  <si>
    <t>Расчет объёма
субвенции на возмещение стоимости услуг по погребению умерших, не работавших и не являвшихся пенсионерами, а также в случае рождения мертвого ребенка по истечении 154 дней беременности, производимое специализированной службе по вопросам похоронного дела органами местного самоуправления, 
на 2018 год</t>
  </si>
  <si>
    <t>Прогнозируемое количество выплат на возмещение стоимости услуг по погребению умерших, указанных в статье 1 Закона</t>
  </si>
  <si>
    <t>Коэффициенты индексации размеров возмещения стоимости услуг по погребению, установленные законами Мурманской области об областном бюджете на предыдущие финансовые годы</t>
  </si>
  <si>
    <t>Коэффициент индексации размера возмещения стоимости услуг по погребению,
(G)</t>
  </si>
  <si>
    <t>G1</t>
  </si>
  <si>
    <t>G2</t>
  </si>
  <si>
    <t>Объем субвенции i-му муниципальному образованию на соответствующий финансовый год,
(Si)</t>
  </si>
  <si>
    <t>G3</t>
  </si>
  <si>
    <t>G4</t>
  </si>
  <si>
    <t>G5</t>
  </si>
  <si>
    <t>Размер возмещения стоимости услуг по погребению,  увеличенный на районный коэффициент, (N)</t>
  </si>
  <si>
    <t>Расчет объёма
субвенции на возмещение стоимости услуг по погребению умерших, не работавших и не являвшихся пенсионерами, а также в случае рождения мертвого ребенка по истечении 154 дней беременности, производимое специализированной службе по вопросам похоронного дела органами местного самоуправления, 
на 2019 год</t>
  </si>
  <si>
    <t>G6</t>
  </si>
  <si>
    <t>G7</t>
  </si>
  <si>
    <t>Министр</t>
  </si>
  <si>
    <t>С.Б. Мякишев</t>
  </si>
  <si>
    <t>G8</t>
  </si>
  <si>
    <t>Коэффициент расходов на компенсацию затрат, (Ki)</t>
  </si>
  <si>
    <t>Предусмотрено Законом Мурманской области от 29.1.2018 N 2334-01-ЗМО "Об областном бюджете на 2019 год и на плановый период 2020 и 2021 годов"</t>
  </si>
  <si>
    <t>Отклонение</t>
  </si>
  <si>
    <t>Расчет объёма
субвенции на возмещение стоимости услуг по погребению умерших, не работавших и не являвшихся пенсионерами, а также в случае рождения мертвого ребенка по истечении 154 дней беременности, производимое специализированной службе по вопросам похоронного дела органами местного самоуправления, 
на 2022 год</t>
  </si>
  <si>
    <t>G9</t>
  </si>
  <si>
    <t>G10</t>
  </si>
  <si>
    <t>Расчет объёма
субвенции на возмещение стоимости услуг по погребению умерших, не работавших и не являвшихся пенсионерами, а также в случае рождения мертвого ребенка по истечении 154 дней беременности, производимое специализированной службе по вопросам похоронного дела органами местного самоуправления, 
на 2024 год</t>
  </si>
  <si>
    <t>G11</t>
  </si>
  <si>
    <t>рублей</t>
  </si>
  <si>
    <t>Расчет объёма
субвенции на возмещение стоимости услуг по погребению умерших, не работавших и не являвшихся пенсионерами, а также в случае рождения мертвого ребенка по истечении 154 дней беременности, производимое специализированной службе по вопросам похоронного дела органами местного самоуправления, 
на 2023 год</t>
  </si>
  <si>
    <t>Печенгский муниципальный округ</t>
  </si>
  <si>
    <t>Заместитель министра труда и социального развития Мурманской области</t>
  </si>
  <si>
    <t>Л.М. Васинцева</t>
  </si>
  <si>
    <t>Муниципальные округа</t>
  </si>
  <si>
    <t>Муниципальные районы</t>
  </si>
  <si>
    <t>муниципальный округ г. Апатиты с подведомственной территорией</t>
  </si>
  <si>
    <t xml:space="preserve">муниципальный округ г. Кировск с подведомственной территорией </t>
  </si>
  <si>
    <t>муниципальный округ г. Мончегорск с подведомственной территорией</t>
  </si>
  <si>
    <t>городской округ город-герой Мурманск</t>
  </si>
  <si>
    <t>муниципальный округ г. Оленегорск с подведомственной территорией</t>
  </si>
  <si>
    <t>муниципальный округ г. Полярные Зори с подведомственной территорией</t>
  </si>
  <si>
    <t>городской округ ЗАТО Александровск</t>
  </si>
  <si>
    <t>городской округ ЗАТО г. Заозерск</t>
  </si>
  <si>
    <t>городской округ ЗАТО г. Североморск</t>
  </si>
  <si>
    <t xml:space="preserve"> городской округ ЗАТО п. Видяево</t>
  </si>
  <si>
    <t>Ковдорский муниципальный округ</t>
  </si>
  <si>
    <t>Кандалакшский муниципальный район</t>
  </si>
  <si>
    <t>Кольский муниципальный район</t>
  </si>
  <si>
    <t>Ловозерский муниципальный район</t>
  </si>
  <si>
    <t>Терский муниципальный район</t>
  </si>
  <si>
    <t>городской округ ЗАТО г. Островной</t>
  </si>
  <si>
    <t>Расчет объёма
субвенции на возмещение стоимости услуг по погребению умерших, не работавших и не являвшихся пенсионерами, а также в случае рождения мертвого ребенка по истечении 154 дней беременности, производимое специализированной службе по вопросам похоронного дела органами местного самоуправления, 
на 2026 год</t>
  </si>
  <si>
    <t xml:space="preserve">Предусмотрено бюджету муниципального образования </t>
  </si>
  <si>
    <t>И.о. министра труда и социального развития Мурманской области</t>
  </si>
  <si>
    <t>Расчет объёма
субвенции на возмещение стоимости услуг по погребению умерших, не работавших и не являвшихся пенсионерами, а также в случае рождения мертвого ребенка по истечении 154 дней беременности, производимое специализированной службе по вопросам похоронного дела органами местного самоуправления, 
на 2027 год</t>
  </si>
  <si>
    <t>2024 год</t>
  </si>
  <si>
    <t>2025 год</t>
  </si>
  <si>
    <t>2026 год</t>
  </si>
  <si>
    <t>Размер возмещения стоимости услуг по погребению, установленный абзацем первым пункта 1 статьи 2  Закона № 581-01-ЗМО,
 (N)</t>
  </si>
  <si>
    <t>Районный коэффициент, установленный нормативными правовыми актами Российской Федерации
 (Rk)</t>
  </si>
  <si>
    <t xml:space="preserve">Коэффициент индексации, применяемый для расчета объема субвенции при подготовке проекта закона об областном бюджете на очередной финансовый год и плановый период, значение которого принимается равным уровню инфляции, указываемому в прогнозе социально-экономического развития Российской Федерации на очередной финансовый год и плановый период. В течение года значение данного коэффициента корректируется в соответствии с коэффициентом индексации, указанным в абзаце третьем пункта 1 статьи 2 Закона №581-01-ЗМО, при внесении изменений в закон об областном бюджете на текущий финансовый год и плановый период,
G
</t>
  </si>
  <si>
    <t>Коэффициент расходов на компенсацию затрат,связанных с обеспечением деятельности органов местного самоуправления в связи с осуществлением переданных им полномочий  
(Ki)</t>
  </si>
  <si>
    <t>Прогнозируемое количество выплат на возмещение стоимости услуг по погребению категорий умерших, указанных в статье 1  Закона №581-01-ЗМО, на соответствующий финансовый год, по данным органов местного самоуправления,
Чi</t>
  </si>
  <si>
    <t>Коэффициент индексации, применяемый для расчета объема субвенции при подготовке проекта закона об областном бюджете на очередной финансовый год и плановый период, значение которого принимается равным уровню инфляции, указываемому в прогнозе социально-экономического развития Российской Федерации на очередной финансовый год и плановый период. В течение года значение данного коэффициента корректируется в соответствии с коэффициентом индексации, указанным в абзаце третьем пункта 1 статьи 2 Закона №581-01-ЗМО, при внесении изменений в закон об областном бюджете на текущий финансовый год и плановый период,
G</t>
  </si>
  <si>
    <t>2027 год</t>
  </si>
  <si>
    <t>Расчет объёма
субвенции на возмещение стоимости услуг по погребению умерших, не работавших и не являвшихся пенсионерами, а также в случае рождения мертвого ребенка по истечении 154 дней беременности, производимое специализированной службе по вопросам похоронного дела органами местного самоуправления, 
на 2028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</si>
</sst>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" fontId="7" fillId="0" borderId="10">
      <alignment horizontal="right" vertical="top" shrinkToFit="1"/>
    </xf>
    <xf numFmtId="4" fontId="7" fillId="0" borderId="10">
      <alignment horizontal="right" vertical="top" shrinkToFit="1"/>
    </xf>
  </cellStyleXfs>
  <cellXfs count="89">
    <xf numFmtId="0" fontId="0" fillId="0" borderId="0" xfId="0"/>
    <xf numFmtId="0" fontId="1" fillId="0" borderId="0" xfId="0" applyFont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3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3" fontId="1" fillId="0" borderId="0" xfId="0" applyNumberFormat="1" applyFont="1"/>
    <xf numFmtId="4" fontId="1" fillId="3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4" fontId="7" fillId="0" borderId="10" xfId="2" applyNumberFormat="1" applyProtection="1">
      <alignment horizontal="right" vertical="top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/>
    </xf>
    <xf numFmtId="4" fontId="9" fillId="0" borderId="0" xfId="0" applyNumberFormat="1" applyFont="1"/>
    <xf numFmtId="3" fontId="3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" fontId="0" fillId="5" borderId="0" xfId="0" applyNumberFormat="1" applyFill="1"/>
    <xf numFmtId="0" fontId="1" fillId="6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3" fontId="3" fillId="0" borderId="3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165" fontId="1" fillId="0" borderId="3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 shrinkToFit="1"/>
    </xf>
    <xf numFmtId="0" fontId="2" fillId="4" borderId="0" xfId="0" applyFont="1" applyFill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</cellXfs>
  <cellStyles count="3">
    <cellStyle name="ex68" xfId="2"/>
    <cellStyle name="ex78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view="pageBreakPreview" topLeftCell="A5" zoomScale="80" zoomScaleNormal="100" zoomScaleSheetLayoutView="80" workbookViewId="0">
      <selection activeCell="D7" sqref="D7:D26"/>
    </sheetView>
  </sheetViews>
  <sheetFormatPr defaultRowHeight="14.4"/>
  <cols>
    <col min="1" max="1" width="49.109375" customWidth="1"/>
    <col min="2" max="2" width="24.6640625" customWidth="1"/>
    <col min="3" max="4" width="18.88671875" customWidth="1"/>
    <col min="5" max="5" width="19.44140625" customWidth="1"/>
    <col min="6" max="10" width="9.5546875" customWidth="1"/>
    <col min="11" max="11" width="22.88671875" customWidth="1"/>
    <col min="12" max="12" width="11" customWidth="1"/>
  </cols>
  <sheetData>
    <row r="1" spans="1:12" ht="34.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ht="72" customHeight="1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ht="28.5" customHeight="1">
      <c r="A3" s="66" t="s">
        <v>18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2" s="4" customFormat="1" ht="98.25" customHeight="1">
      <c r="A4" s="70" t="s">
        <v>19</v>
      </c>
      <c r="B4" s="70" t="s">
        <v>23</v>
      </c>
      <c r="C4" s="70" t="s">
        <v>32</v>
      </c>
      <c r="D4" s="70" t="s">
        <v>39</v>
      </c>
      <c r="E4" s="70" t="s">
        <v>25</v>
      </c>
      <c r="F4" s="67" t="s">
        <v>24</v>
      </c>
      <c r="G4" s="68"/>
      <c r="H4" s="68"/>
      <c r="I4" s="68"/>
      <c r="J4" s="69"/>
      <c r="K4" s="70" t="s">
        <v>28</v>
      </c>
    </row>
    <row r="5" spans="1:12" ht="21" customHeight="1">
      <c r="A5" s="71"/>
      <c r="B5" s="71"/>
      <c r="C5" s="71"/>
      <c r="D5" s="71"/>
      <c r="E5" s="71"/>
      <c r="F5" s="6" t="s">
        <v>26</v>
      </c>
      <c r="G5" s="6" t="s">
        <v>27</v>
      </c>
      <c r="H5" s="6" t="s">
        <v>29</v>
      </c>
      <c r="I5" s="6" t="s">
        <v>30</v>
      </c>
      <c r="J5" s="6" t="s">
        <v>31</v>
      </c>
      <c r="K5" s="71"/>
    </row>
    <row r="6" spans="1:12" s="4" customForma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</row>
    <row r="7" spans="1:12" ht="27" customHeight="1">
      <c r="A7" s="9" t="s">
        <v>20</v>
      </c>
      <c r="B7" s="2">
        <f>SUM(B8:B19)</f>
        <v>281</v>
      </c>
      <c r="C7" s="2"/>
      <c r="D7" s="72">
        <v>1.0149999999999999</v>
      </c>
      <c r="E7" s="75">
        <v>1.04</v>
      </c>
      <c r="F7" s="72">
        <v>1.0549999999999999</v>
      </c>
      <c r="G7" s="72">
        <v>1.05</v>
      </c>
      <c r="H7" s="72">
        <v>1.0449999999999999</v>
      </c>
      <c r="I7" s="72">
        <v>1.04</v>
      </c>
      <c r="J7" s="72">
        <v>1.119</v>
      </c>
      <c r="K7" s="14">
        <f t="shared" ref="K7" si="0">SUM(K8:K19)</f>
        <v>2240600</v>
      </c>
    </row>
    <row r="8" spans="1:12" s="1" customFormat="1" ht="14.25" customHeight="1">
      <c r="A8" s="10" t="s">
        <v>0</v>
      </c>
      <c r="B8" s="5">
        <v>26</v>
      </c>
      <c r="C8" s="8">
        <f>4000*1.4</f>
        <v>5600</v>
      </c>
      <c r="D8" s="73"/>
      <c r="E8" s="76"/>
      <c r="F8" s="73"/>
      <c r="G8" s="73"/>
      <c r="H8" s="73"/>
      <c r="I8" s="73"/>
      <c r="J8" s="73"/>
      <c r="K8" s="15">
        <f>ROUNDUP(B8*C8*$E$7*$F$7*$G$7*$H$7*$I$7*$J$7*$D$7/1000,1)*1000</f>
        <v>207100</v>
      </c>
      <c r="L8" s="1">
        <f>C8*E7*F7*G7*H7*I7*J7</f>
        <v>7845.9013144512001</v>
      </c>
    </row>
    <row r="9" spans="1:12" s="1" customFormat="1" ht="14.25" customHeight="1">
      <c r="A9" s="10" t="s">
        <v>1</v>
      </c>
      <c r="B9" s="5">
        <v>15</v>
      </c>
      <c r="C9" s="8">
        <f t="shared" ref="C9:C19" si="1">4000*1.4</f>
        <v>5600</v>
      </c>
      <c r="D9" s="73"/>
      <c r="E9" s="76"/>
      <c r="F9" s="73"/>
      <c r="G9" s="73"/>
      <c r="H9" s="73"/>
      <c r="I9" s="73"/>
      <c r="J9" s="73"/>
      <c r="K9" s="15">
        <f t="shared" ref="K9:K25" si="2">ROUNDUP(B9*C9*$E$7*$F$7*$G$7*$H$7*$I$7*$J$7*$D$7/1000,1)*1000</f>
        <v>119500</v>
      </c>
    </row>
    <row r="10" spans="1:12" s="1" customFormat="1" ht="14.25" customHeight="1">
      <c r="A10" s="10" t="s">
        <v>2</v>
      </c>
      <c r="B10" s="5">
        <v>15</v>
      </c>
      <c r="C10" s="8">
        <f t="shared" si="1"/>
        <v>5600</v>
      </c>
      <c r="D10" s="73"/>
      <c r="E10" s="76"/>
      <c r="F10" s="73"/>
      <c r="G10" s="73"/>
      <c r="H10" s="73"/>
      <c r="I10" s="73"/>
      <c r="J10" s="73"/>
      <c r="K10" s="15">
        <f t="shared" si="2"/>
        <v>119500</v>
      </c>
    </row>
    <row r="11" spans="1:12" s="1" customFormat="1" ht="14.25" customHeight="1">
      <c r="A11" s="10" t="s">
        <v>3</v>
      </c>
      <c r="B11" s="5">
        <v>120</v>
      </c>
      <c r="C11" s="8">
        <f t="shared" si="1"/>
        <v>5600</v>
      </c>
      <c r="D11" s="73"/>
      <c r="E11" s="76"/>
      <c r="F11" s="73"/>
      <c r="G11" s="73"/>
      <c r="H11" s="73"/>
      <c r="I11" s="73"/>
      <c r="J11" s="73"/>
      <c r="K11" s="15">
        <f t="shared" si="2"/>
        <v>955700</v>
      </c>
    </row>
    <row r="12" spans="1:12" s="1" customFormat="1" ht="14.25" customHeight="1">
      <c r="A12" s="10" t="s">
        <v>4</v>
      </c>
      <c r="B12" s="5">
        <v>29</v>
      </c>
      <c r="C12" s="8">
        <f t="shared" si="1"/>
        <v>5600</v>
      </c>
      <c r="D12" s="73"/>
      <c r="E12" s="76"/>
      <c r="F12" s="73"/>
      <c r="G12" s="73"/>
      <c r="H12" s="73"/>
      <c r="I12" s="73"/>
      <c r="J12" s="73"/>
      <c r="K12" s="15">
        <f t="shared" si="2"/>
        <v>231000</v>
      </c>
    </row>
    <row r="13" spans="1:12" s="1" customFormat="1" ht="14.25" customHeight="1">
      <c r="A13" s="10" t="s">
        <v>5</v>
      </c>
      <c r="B13" s="5">
        <v>3</v>
      </c>
      <c r="C13" s="8">
        <f t="shared" si="1"/>
        <v>5600</v>
      </c>
      <c r="D13" s="73"/>
      <c r="E13" s="76"/>
      <c r="F13" s="73"/>
      <c r="G13" s="73"/>
      <c r="H13" s="73"/>
      <c r="I13" s="73"/>
      <c r="J13" s="73"/>
      <c r="K13" s="15">
        <f t="shared" si="2"/>
        <v>23900.000000000004</v>
      </c>
    </row>
    <row r="14" spans="1:12" s="1" customFormat="1" ht="14.25" customHeight="1">
      <c r="A14" s="10" t="s">
        <v>6</v>
      </c>
      <c r="B14" s="5">
        <v>14</v>
      </c>
      <c r="C14" s="8">
        <f t="shared" si="1"/>
        <v>5600</v>
      </c>
      <c r="D14" s="73"/>
      <c r="E14" s="76"/>
      <c r="F14" s="73"/>
      <c r="G14" s="73"/>
      <c r="H14" s="73"/>
      <c r="I14" s="73"/>
      <c r="J14" s="73"/>
      <c r="K14" s="15">
        <f t="shared" si="2"/>
        <v>111500</v>
      </c>
    </row>
    <row r="15" spans="1:12" s="1" customFormat="1" ht="14.25" customHeight="1">
      <c r="A15" s="10" t="s">
        <v>7</v>
      </c>
      <c r="B15" s="5">
        <v>1</v>
      </c>
      <c r="C15" s="8">
        <f t="shared" si="1"/>
        <v>5600</v>
      </c>
      <c r="D15" s="73"/>
      <c r="E15" s="76"/>
      <c r="F15" s="73"/>
      <c r="G15" s="73"/>
      <c r="H15" s="73"/>
      <c r="I15" s="73"/>
      <c r="J15" s="73"/>
      <c r="K15" s="15">
        <f t="shared" si="2"/>
        <v>8000</v>
      </c>
    </row>
    <row r="16" spans="1:12" s="1" customFormat="1" ht="14.25" customHeight="1">
      <c r="A16" s="10" t="s">
        <v>8</v>
      </c>
      <c r="B16" s="5">
        <v>1</v>
      </c>
      <c r="C16" s="8">
        <f>4000*1.8</f>
        <v>7200</v>
      </c>
      <c r="D16" s="73"/>
      <c r="E16" s="76"/>
      <c r="F16" s="73"/>
      <c r="G16" s="73"/>
      <c r="H16" s="73"/>
      <c r="I16" s="73"/>
      <c r="J16" s="73"/>
      <c r="K16" s="15">
        <f t="shared" si="2"/>
        <v>10299.999999999998</v>
      </c>
    </row>
    <row r="17" spans="1:11" s="1" customFormat="1" ht="14.25" customHeight="1">
      <c r="A17" s="10" t="s">
        <v>9</v>
      </c>
      <c r="B17" s="5">
        <v>51</v>
      </c>
      <c r="C17" s="8">
        <f t="shared" si="1"/>
        <v>5600</v>
      </c>
      <c r="D17" s="73"/>
      <c r="E17" s="76"/>
      <c r="F17" s="73"/>
      <c r="G17" s="73"/>
      <c r="H17" s="73"/>
      <c r="I17" s="73"/>
      <c r="J17" s="73"/>
      <c r="K17" s="15">
        <f t="shared" si="2"/>
        <v>406200.00000000006</v>
      </c>
    </row>
    <row r="18" spans="1:11" s="1" customFormat="1" ht="14.25" customHeight="1">
      <c r="A18" s="10" t="s">
        <v>10</v>
      </c>
      <c r="B18" s="5">
        <v>1</v>
      </c>
      <c r="C18" s="8">
        <f t="shared" si="1"/>
        <v>5600</v>
      </c>
      <c r="D18" s="73"/>
      <c r="E18" s="76"/>
      <c r="F18" s="73"/>
      <c r="G18" s="73"/>
      <c r="H18" s="73"/>
      <c r="I18" s="73"/>
      <c r="J18" s="73"/>
      <c r="K18" s="15">
        <f t="shared" si="2"/>
        <v>8000</v>
      </c>
    </row>
    <row r="19" spans="1:11" s="1" customFormat="1" ht="14.25" customHeight="1">
      <c r="A19" s="10" t="s">
        <v>11</v>
      </c>
      <c r="B19" s="5">
        <v>5</v>
      </c>
      <c r="C19" s="8">
        <f t="shared" si="1"/>
        <v>5600</v>
      </c>
      <c r="D19" s="73"/>
      <c r="E19" s="76"/>
      <c r="F19" s="73"/>
      <c r="G19" s="73"/>
      <c r="H19" s="73"/>
      <c r="I19" s="73"/>
      <c r="J19" s="73"/>
      <c r="K19" s="15">
        <f t="shared" si="2"/>
        <v>39900</v>
      </c>
    </row>
    <row r="20" spans="1:11" ht="27" customHeight="1">
      <c r="A20" s="9" t="s">
        <v>12</v>
      </c>
      <c r="B20" s="2">
        <f>SUM(B21:B25)</f>
        <v>34</v>
      </c>
      <c r="C20" s="2"/>
      <c r="D20" s="73"/>
      <c r="E20" s="76"/>
      <c r="F20" s="73"/>
      <c r="G20" s="73"/>
      <c r="H20" s="73"/>
      <c r="I20" s="73"/>
      <c r="J20" s="73"/>
      <c r="K20" s="14">
        <f>SUM(K21:K25)</f>
        <v>271000</v>
      </c>
    </row>
    <row r="21" spans="1:11" s="1" customFormat="1" ht="14.25" customHeight="1">
      <c r="A21" s="10" t="s">
        <v>13</v>
      </c>
      <c r="B21" s="5">
        <v>21</v>
      </c>
      <c r="C21" s="8">
        <f t="shared" ref="C21:C25" si="3">4000*1.4</f>
        <v>5600</v>
      </c>
      <c r="D21" s="73"/>
      <c r="E21" s="76"/>
      <c r="F21" s="73"/>
      <c r="G21" s="73"/>
      <c r="H21" s="73"/>
      <c r="I21" s="73"/>
      <c r="J21" s="73"/>
      <c r="K21" s="15">
        <f t="shared" si="2"/>
        <v>167299.99999999997</v>
      </c>
    </row>
    <row r="22" spans="1:11" s="1" customFormat="1" ht="14.25" customHeight="1">
      <c r="A22" s="10" t="s">
        <v>14</v>
      </c>
      <c r="B22" s="5">
        <v>5</v>
      </c>
      <c r="C22" s="8">
        <f t="shared" si="3"/>
        <v>5600</v>
      </c>
      <c r="D22" s="73"/>
      <c r="E22" s="76"/>
      <c r="F22" s="73"/>
      <c r="G22" s="73"/>
      <c r="H22" s="73"/>
      <c r="I22" s="73"/>
      <c r="J22" s="73"/>
      <c r="K22" s="15">
        <f t="shared" si="2"/>
        <v>39900</v>
      </c>
    </row>
    <row r="23" spans="1:11" s="1" customFormat="1" ht="14.25" customHeight="1">
      <c r="A23" s="10" t="s">
        <v>15</v>
      </c>
      <c r="B23" s="5">
        <v>3</v>
      </c>
      <c r="C23" s="8">
        <f t="shared" si="3"/>
        <v>5600</v>
      </c>
      <c r="D23" s="73"/>
      <c r="E23" s="76"/>
      <c r="F23" s="73"/>
      <c r="G23" s="73"/>
      <c r="H23" s="73"/>
      <c r="I23" s="73"/>
      <c r="J23" s="73"/>
      <c r="K23" s="15">
        <f t="shared" si="2"/>
        <v>23900.000000000004</v>
      </c>
    </row>
    <row r="24" spans="1:11" s="1" customFormat="1" ht="14.25" customHeight="1">
      <c r="A24" s="10" t="s">
        <v>16</v>
      </c>
      <c r="B24" s="5">
        <v>4</v>
      </c>
      <c r="C24" s="8">
        <f t="shared" si="3"/>
        <v>5600</v>
      </c>
      <c r="D24" s="73"/>
      <c r="E24" s="76"/>
      <c r="F24" s="73"/>
      <c r="G24" s="73"/>
      <c r="H24" s="73"/>
      <c r="I24" s="73"/>
      <c r="J24" s="73"/>
      <c r="K24" s="15">
        <f t="shared" si="2"/>
        <v>31900.000000000004</v>
      </c>
    </row>
    <row r="25" spans="1:11" s="1" customFormat="1" ht="14.25" customHeight="1">
      <c r="A25" s="10" t="s">
        <v>17</v>
      </c>
      <c r="B25" s="5">
        <v>1</v>
      </c>
      <c r="C25" s="8">
        <f t="shared" si="3"/>
        <v>5600</v>
      </c>
      <c r="D25" s="73"/>
      <c r="E25" s="76"/>
      <c r="F25" s="73"/>
      <c r="G25" s="73"/>
      <c r="H25" s="73"/>
      <c r="I25" s="73"/>
      <c r="J25" s="73"/>
      <c r="K25" s="15">
        <f t="shared" si="2"/>
        <v>8000</v>
      </c>
    </row>
    <row r="26" spans="1:11" ht="27" customHeight="1">
      <c r="A26" s="9" t="s">
        <v>21</v>
      </c>
      <c r="B26" s="2">
        <f>B20+B7</f>
        <v>315</v>
      </c>
      <c r="C26" s="2"/>
      <c r="D26" s="74"/>
      <c r="E26" s="77"/>
      <c r="F26" s="74"/>
      <c r="G26" s="74"/>
      <c r="H26" s="74"/>
      <c r="I26" s="74"/>
      <c r="J26" s="74"/>
      <c r="K26" s="14">
        <f t="shared" ref="K26" si="4">K20+K7</f>
        <v>2511600</v>
      </c>
    </row>
    <row r="29" spans="1:11" s="13" customFormat="1" ht="20.399999999999999">
      <c r="A29" s="13" t="s">
        <v>36</v>
      </c>
      <c r="E29" s="13" t="s">
        <v>37</v>
      </c>
    </row>
  </sheetData>
  <mergeCells count="17">
    <mergeCell ref="D7:D26"/>
    <mergeCell ref="E7:E26"/>
    <mergeCell ref="F7:F26"/>
    <mergeCell ref="J7:J26"/>
    <mergeCell ref="G7:G26"/>
    <mergeCell ref="H7:H26"/>
    <mergeCell ref="I7:I26"/>
    <mergeCell ref="A1:K1"/>
    <mergeCell ref="A2:K2"/>
    <mergeCell ref="A3:K3"/>
    <mergeCell ref="F4:J4"/>
    <mergeCell ref="K4:K5"/>
    <mergeCell ref="B4:B5"/>
    <mergeCell ref="A4:A5"/>
    <mergeCell ref="C4:C5"/>
    <mergeCell ref="E4:E5"/>
    <mergeCell ref="D4:D5"/>
  </mergeCells>
  <pageMargins left="0.25" right="0.25" top="0.75" bottom="0.75" header="0.3" footer="0.3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view="pageBreakPreview" zoomScale="70" zoomScaleNormal="10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9" sqref="P9"/>
    </sheetView>
  </sheetViews>
  <sheetFormatPr defaultRowHeight="14.4"/>
  <cols>
    <col min="1" max="1" width="50" customWidth="1"/>
    <col min="2" max="2" width="24.6640625" customWidth="1"/>
    <col min="3" max="4" width="18.88671875" customWidth="1"/>
    <col min="5" max="5" width="18.6640625" customWidth="1"/>
    <col min="6" max="11" width="9.5546875" customWidth="1"/>
    <col min="12" max="12" width="22.88671875" customWidth="1"/>
    <col min="13" max="13" width="21.33203125" customWidth="1"/>
    <col min="14" max="14" width="19.109375" customWidth="1"/>
    <col min="15" max="15" width="12.5546875" customWidth="1"/>
  </cols>
  <sheetData>
    <row r="1" spans="1:15" ht="34.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5" ht="81" customHeight="1">
      <c r="A2" s="65" t="s">
        <v>33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5" ht="9.6" customHeight="1">
      <c r="A3" s="66" t="s">
        <v>18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5" s="4" customFormat="1" ht="95.4" customHeight="1">
      <c r="A4" s="70" t="s">
        <v>19</v>
      </c>
      <c r="B4" s="70" t="s">
        <v>23</v>
      </c>
      <c r="C4" s="70" t="s">
        <v>32</v>
      </c>
      <c r="D4" s="70" t="s">
        <v>39</v>
      </c>
      <c r="E4" s="70" t="s">
        <v>25</v>
      </c>
      <c r="F4" s="67" t="s">
        <v>24</v>
      </c>
      <c r="G4" s="68"/>
      <c r="H4" s="68"/>
      <c r="I4" s="68"/>
      <c r="J4" s="68"/>
      <c r="K4" s="69"/>
      <c r="L4" s="70" t="s">
        <v>28</v>
      </c>
      <c r="M4" s="78" t="s">
        <v>40</v>
      </c>
      <c r="N4" s="79" t="s">
        <v>41</v>
      </c>
    </row>
    <row r="5" spans="1:15" ht="111" customHeight="1">
      <c r="A5" s="71"/>
      <c r="B5" s="71"/>
      <c r="C5" s="71"/>
      <c r="D5" s="71"/>
      <c r="E5" s="71"/>
      <c r="F5" s="6" t="s">
        <v>26</v>
      </c>
      <c r="G5" s="6" t="s">
        <v>27</v>
      </c>
      <c r="H5" s="6" t="s">
        <v>29</v>
      </c>
      <c r="I5" s="6" t="s">
        <v>30</v>
      </c>
      <c r="J5" s="6" t="s">
        <v>31</v>
      </c>
      <c r="K5" s="6" t="s">
        <v>34</v>
      </c>
      <c r="L5" s="71"/>
      <c r="M5" s="78"/>
      <c r="N5" s="80"/>
    </row>
    <row r="6" spans="1:15" s="4" customFormat="1">
      <c r="A6" s="7">
        <v>1</v>
      </c>
      <c r="B6" s="7">
        <v>2</v>
      </c>
      <c r="C6" s="7">
        <v>3</v>
      </c>
      <c r="D6" s="7">
        <v>4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25">
        <v>12</v>
      </c>
      <c r="N6" s="25">
        <v>13</v>
      </c>
    </row>
    <row r="7" spans="1:15" ht="21.75" customHeight="1">
      <c r="A7" s="9" t="s">
        <v>20</v>
      </c>
      <c r="B7" s="2">
        <f>SUM(B8:B19)</f>
        <v>281</v>
      </c>
      <c r="C7" s="2"/>
      <c r="D7" s="72">
        <v>1.0149999999999999</v>
      </c>
      <c r="E7" s="72">
        <v>1.0229999999999999</v>
      </c>
      <c r="F7" s="72">
        <v>1.0549999999999999</v>
      </c>
      <c r="G7" s="72">
        <v>1.05</v>
      </c>
      <c r="H7" s="72">
        <v>1.0449999999999999</v>
      </c>
      <c r="I7" s="72">
        <v>1.04</v>
      </c>
      <c r="J7" s="72">
        <v>1.119</v>
      </c>
      <c r="K7" s="72">
        <v>1.04</v>
      </c>
      <c r="L7" s="3">
        <f t="shared" ref="L7:N7" si="0">SUM(L8:L19)</f>
        <v>2292200</v>
      </c>
      <c r="M7" s="3">
        <f t="shared" si="0"/>
        <v>2259600</v>
      </c>
      <c r="N7" s="3">
        <f t="shared" si="0"/>
        <v>32600.000000000015</v>
      </c>
    </row>
    <row r="8" spans="1:15" s="1" customFormat="1" ht="14.25" customHeight="1">
      <c r="A8" s="10" t="s">
        <v>0</v>
      </c>
      <c r="B8" s="17">
        <v>18</v>
      </c>
      <c r="C8" s="8">
        <f>4000*1.4</f>
        <v>5600</v>
      </c>
      <c r="D8" s="73"/>
      <c r="E8" s="73"/>
      <c r="F8" s="73"/>
      <c r="G8" s="73"/>
      <c r="H8" s="73"/>
      <c r="I8" s="73"/>
      <c r="J8" s="73"/>
      <c r="K8" s="73"/>
      <c r="L8" s="11">
        <f>ROUNDUP(B8*C8*$E$7*$F$7*$G$7*$H$7*$I$7*$K$7*$J$7*$D$7/1000,1)*1000</f>
        <v>146700</v>
      </c>
      <c r="M8" s="19">
        <v>122300</v>
      </c>
      <c r="N8" s="18">
        <f>L8-M8</f>
        <v>24400</v>
      </c>
      <c r="O8" s="8">
        <f>C8*E7*F7*G7*H7*I7*J7*K7</f>
        <v>8026.3570446835765</v>
      </c>
    </row>
    <row r="9" spans="1:15" s="1" customFormat="1" ht="14.25" customHeight="1">
      <c r="A9" s="10" t="s">
        <v>1</v>
      </c>
      <c r="B9" s="5">
        <v>5</v>
      </c>
      <c r="C9" s="8">
        <f t="shared" ref="C9:C19" si="1">4000*1.4</f>
        <v>5600</v>
      </c>
      <c r="D9" s="73"/>
      <c r="E9" s="73"/>
      <c r="F9" s="73"/>
      <c r="G9" s="73"/>
      <c r="H9" s="73"/>
      <c r="I9" s="73"/>
      <c r="J9" s="73"/>
      <c r="K9" s="73"/>
      <c r="L9" s="11">
        <f t="shared" ref="L9:L25" si="2">ROUNDUP(B9*C9*$E$7*$F$7*$G$7*$H$7*$I$7*$K$7*$J$7*$D$7/1000,1)*1000</f>
        <v>40800.000000000007</v>
      </c>
      <c r="M9" s="19">
        <v>122300</v>
      </c>
      <c r="N9" s="18">
        <f t="shared" ref="N9:N25" si="3">L9-M9</f>
        <v>-81500</v>
      </c>
    </row>
    <row r="10" spans="1:15" s="1" customFormat="1" ht="14.25" customHeight="1">
      <c r="A10" s="10" t="s">
        <v>2</v>
      </c>
      <c r="B10" s="16">
        <v>19</v>
      </c>
      <c r="C10" s="8">
        <f t="shared" si="1"/>
        <v>5600</v>
      </c>
      <c r="D10" s="73"/>
      <c r="E10" s="73"/>
      <c r="F10" s="73"/>
      <c r="G10" s="73"/>
      <c r="H10" s="73"/>
      <c r="I10" s="73"/>
      <c r="J10" s="73"/>
      <c r="K10" s="73"/>
      <c r="L10" s="11">
        <f t="shared" si="2"/>
        <v>154799.99999999997</v>
      </c>
      <c r="M10" s="19">
        <v>122300</v>
      </c>
      <c r="N10" s="18">
        <f t="shared" si="3"/>
        <v>32499.999999999971</v>
      </c>
    </row>
    <row r="11" spans="1:15" s="1" customFormat="1" ht="14.25" customHeight="1">
      <c r="A11" s="10" t="s">
        <v>3</v>
      </c>
      <c r="B11" s="16">
        <v>125</v>
      </c>
      <c r="C11" s="8">
        <f t="shared" si="1"/>
        <v>5600</v>
      </c>
      <c r="D11" s="73"/>
      <c r="E11" s="73"/>
      <c r="F11" s="73"/>
      <c r="G11" s="73"/>
      <c r="H11" s="73"/>
      <c r="I11" s="73"/>
      <c r="J11" s="73"/>
      <c r="K11" s="73"/>
      <c r="L11" s="11">
        <f t="shared" si="2"/>
        <v>1018400</v>
      </c>
      <c r="M11" s="19">
        <v>1018400</v>
      </c>
      <c r="N11" s="18">
        <f t="shared" si="3"/>
        <v>0</v>
      </c>
    </row>
    <row r="12" spans="1:15" s="1" customFormat="1" ht="14.25" customHeight="1">
      <c r="A12" s="10" t="s">
        <v>4</v>
      </c>
      <c r="B12" s="16">
        <v>37</v>
      </c>
      <c r="C12" s="8">
        <f t="shared" si="1"/>
        <v>5600</v>
      </c>
      <c r="D12" s="73"/>
      <c r="E12" s="73"/>
      <c r="F12" s="73"/>
      <c r="G12" s="73"/>
      <c r="H12" s="73"/>
      <c r="I12" s="73"/>
      <c r="J12" s="73"/>
      <c r="K12" s="73"/>
      <c r="L12" s="11">
        <f t="shared" si="2"/>
        <v>301500</v>
      </c>
      <c r="M12" s="19">
        <v>236300</v>
      </c>
      <c r="N12" s="18">
        <f t="shared" si="3"/>
        <v>65200</v>
      </c>
    </row>
    <row r="13" spans="1:15" s="1" customFormat="1" ht="14.25" customHeight="1">
      <c r="A13" s="10" t="s">
        <v>5</v>
      </c>
      <c r="B13" s="16">
        <v>2</v>
      </c>
      <c r="C13" s="8">
        <f t="shared" si="1"/>
        <v>5600</v>
      </c>
      <c r="D13" s="73"/>
      <c r="E13" s="73"/>
      <c r="F13" s="73"/>
      <c r="G13" s="73"/>
      <c r="H13" s="73"/>
      <c r="I13" s="73"/>
      <c r="J13" s="73"/>
      <c r="K13" s="73"/>
      <c r="L13" s="11">
        <f t="shared" si="2"/>
        <v>16300</v>
      </c>
      <c r="M13" s="19">
        <v>16300</v>
      </c>
      <c r="N13" s="18">
        <f t="shared" si="3"/>
        <v>0</v>
      </c>
    </row>
    <row r="14" spans="1:15" s="1" customFormat="1" ht="14.25" customHeight="1">
      <c r="A14" s="10" t="s">
        <v>6</v>
      </c>
      <c r="B14" s="16">
        <v>9</v>
      </c>
      <c r="C14" s="8">
        <f t="shared" si="1"/>
        <v>5600</v>
      </c>
      <c r="D14" s="73"/>
      <c r="E14" s="73"/>
      <c r="F14" s="73"/>
      <c r="G14" s="73"/>
      <c r="H14" s="73"/>
      <c r="I14" s="73"/>
      <c r="J14" s="73"/>
      <c r="K14" s="73"/>
      <c r="L14" s="11">
        <f t="shared" si="2"/>
        <v>73399.999999999985</v>
      </c>
      <c r="M14" s="19">
        <v>114100</v>
      </c>
      <c r="N14" s="18">
        <f t="shared" si="3"/>
        <v>-40700.000000000015</v>
      </c>
    </row>
    <row r="15" spans="1:15" s="1" customFormat="1" ht="14.25" customHeight="1">
      <c r="A15" s="10" t="s">
        <v>7</v>
      </c>
      <c r="B15" s="5">
        <v>7</v>
      </c>
      <c r="C15" s="20">
        <f t="shared" si="1"/>
        <v>5600</v>
      </c>
      <c r="D15" s="73"/>
      <c r="E15" s="73"/>
      <c r="F15" s="73"/>
      <c r="G15" s="73"/>
      <c r="H15" s="73"/>
      <c r="I15" s="73"/>
      <c r="J15" s="73"/>
      <c r="K15" s="73"/>
      <c r="L15" s="11">
        <f t="shared" si="2"/>
        <v>57100</v>
      </c>
      <c r="M15" s="19">
        <v>16300</v>
      </c>
      <c r="N15" s="18">
        <f t="shared" si="3"/>
        <v>40800</v>
      </c>
    </row>
    <row r="16" spans="1:15" s="1" customFormat="1" ht="14.25" customHeight="1">
      <c r="A16" s="10" t="s">
        <v>8</v>
      </c>
      <c r="B16" s="16">
        <v>1</v>
      </c>
      <c r="C16" s="8">
        <f>4000*1.8</f>
        <v>7200</v>
      </c>
      <c r="D16" s="73"/>
      <c r="E16" s="73"/>
      <c r="F16" s="73"/>
      <c r="G16" s="73"/>
      <c r="H16" s="73"/>
      <c r="I16" s="73"/>
      <c r="J16" s="73"/>
      <c r="K16" s="73"/>
      <c r="L16" s="11">
        <f t="shared" si="2"/>
        <v>10500</v>
      </c>
      <c r="M16" s="19">
        <v>10500</v>
      </c>
      <c r="N16" s="18">
        <f t="shared" si="3"/>
        <v>0</v>
      </c>
    </row>
    <row r="17" spans="1:14" s="1" customFormat="1" ht="14.25" customHeight="1">
      <c r="A17" s="10" t="s">
        <v>9</v>
      </c>
      <c r="B17" s="16">
        <v>50</v>
      </c>
      <c r="C17" s="8">
        <f t="shared" si="1"/>
        <v>5600</v>
      </c>
      <c r="D17" s="73"/>
      <c r="E17" s="73"/>
      <c r="F17" s="73"/>
      <c r="G17" s="73"/>
      <c r="H17" s="73"/>
      <c r="I17" s="73"/>
      <c r="J17" s="73"/>
      <c r="K17" s="73"/>
      <c r="L17" s="11">
        <f t="shared" si="2"/>
        <v>407400.00000000006</v>
      </c>
      <c r="M17" s="19">
        <v>415500</v>
      </c>
      <c r="N17" s="18">
        <f t="shared" si="3"/>
        <v>-8099.9999999999418</v>
      </c>
    </row>
    <row r="18" spans="1:14" s="1" customFormat="1" ht="14.25" customHeight="1">
      <c r="A18" s="10" t="s">
        <v>10</v>
      </c>
      <c r="B18" s="16">
        <v>1</v>
      </c>
      <c r="C18" s="8">
        <f t="shared" si="1"/>
        <v>5600</v>
      </c>
      <c r="D18" s="73"/>
      <c r="E18" s="73"/>
      <c r="F18" s="73"/>
      <c r="G18" s="73"/>
      <c r="H18" s="73"/>
      <c r="I18" s="73"/>
      <c r="J18" s="73"/>
      <c r="K18" s="73"/>
      <c r="L18" s="11">
        <f t="shared" si="2"/>
        <v>8200</v>
      </c>
      <c r="M18" s="19">
        <v>8200</v>
      </c>
      <c r="N18" s="18">
        <f t="shared" si="3"/>
        <v>0</v>
      </c>
    </row>
    <row r="19" spans="1:14" s="1" customFormat="1" ht="14.25" customHeight="1">
      <c r="A19" s="10" t="s">
        <v>11</v>
      </c>
      <c r="B19" s="16">
        <v>7</v>
      </c>
      <c r="C19" s="8">
        <f t="shared" si="1"/>
        <v>5600</v>
      </c>
      <c r="D19" s="73"/>
      <c r="E19" s="73"/>
      <c r="F19" s="73"/>
      <c r="G19" s="73"/>
      <c r="H19" s="73"/>
      <c r="I19" s="73"/>
      <c r="J19" s="73"/>
      <c r="K19" s="73"/>
      <c r="L19" s="11">
        <f t="shared" si="2"/>
        <v>57100</v>
      </c>
      <c r="M19" s="19">
        <v>57100</v>
      </c>
      <c r="N19" s="18">
        <f t="shared" si="3"/>
        <v>0</v>
      </c>
    </row>
    <row r="20" spans="1:14" ht="21.75" customHeight="1">
      <c r="A20" s="9" t="s">
        <v>12</v>
      </c>
      <c r="B20" s="2">
        <f>SUM(B21:B25)</f>
        <v>39</v>
      </c>
      <c r="C20" s="2"/>
      <c r="D20" s="73"/>
      <c r="E20" s="73"/>
      <c r="F20" s="73"/>
      <c r="G20" s="73"/>
      <c r="H20" s="73"/>
      <c r="I20" s="73"/>
      <c r="J20" s="73"/>
      <c r="K20" s="73"/>
      <c r="L20" s="3">
        <f>SUM(L21:L25)</f>
        <v>317900</v>
      </c>
      <c r="M20" s="3">
        <f t="shared" ref="M20:N20" si="4">SUM(M21:M25)</f>
        <v>366800</v>
      </c>
      <c r="N20" s="3">
        <f t="shared" si="4"/>
        <v>-48900</v>
      </c>
    </row>
    <row r="21" spans="1:14" s="1" customFormat="1" ht="14.25" customHeight="1">
      <c r="A21" s="10" t="s">
        <v>13</v>
      </c>
      <c r="B21" s="17">
        <v>10</v>
      </c>
      <c r="C21" s="8">
        <f t="shared" ref="C21:C25" si="5">4000*1.4</f>
        <v>5600</v>
      </c>
      <c r="D21" s="73"/>
      <c r="E21" s="73"/>
      <c r="F21" s="73"/>
      <c r="G21" s="73"/>
      <c r="H21" s="73"/>
      <c r="I21" s="73"/>
      <c r="J21" s="73"/>
      <c r="K21" s="73"/>
      <c r="L21" s="11">
        <f t="shared" si="2"/>
        <v>81500</v>
      </c>
      <c r="M21" s="19">
        <v>171100</v>
      </c>
      <c r="N21" s="18">
        <f t="shared" si="3"/>
        <v>-89600</v>
      </c>
    </row>
    <row r="22" spans="1:14" s="1" customFormat="1" ht="14.25" customHeight="1">
      <c r="A22" s="10" t="s">
        <v>14</v>
      </c>
      <c r="B22" s="16">
        <v>14</v>
      </c>
      <c r="C22" s="8">
        <f t="shared" si="5"/>
        <v>5600</v>
      </c>
      <c r="D22" s="73"/>
      <c r="E22" s="73"/>
      <c r="F22" s="73"/>
      <c r="G22" s="73"/>
      <c r="H22" s="73"/>
      <c r="I22" s="73"/>
      <c r="J22" s="73"/>
      <c r="K22" s="73"/>
      <c r="L22" s="11">
        <f t="shared" si="2"/>
        <v>114100</v>
      </c>
      <c r="M22" s="19">
        <v>114100</v>
      </c>
      <c r="N22" s="18">
        <f t="shared" si="3"/>
        <v>0</v>
      </c>
    </row>
    <row r="23" spans="1:14" s="1" customFormat="1" ht="14.25" customHeight="1">
      <c r="A23" s="10" t="s">
        <v>15</v>
      </c>
      <c r="B23" s="16">
        <v>6</v>
      </c>
      <c r="C23" s="8">
        <f t="shared" si="5"/>
        <v>5600</v>
      </c>
      <c r="D23" s="73"/>
      <c r="E23" s="73"/>
      <c r="F23" s="73"/>
      <c r="G23" s="73"/>
      <c r="H23" s="73"/>
      <c r="I23" s="73"/>
      <c r="J23" s="73"/>
      <c r="K23" s="73"/>
      <c r="L23" s="11">
        <f t="shared" si="2"/>
        <v>48900</v>
      </c>
      <c r="M23" s="19">
        <v>24500</v>
      </c>
      <c r="N23" s="18">
        <f t="shared" si="3"/>
        <v>24400</v>
      </c>
    </row>
    <row r="24" spans="1:14" s="1" customFormat="1" ht="14.25" customHeight="1">
      <c r="A24" s="10" t="s">
        <v>16</v>
      </c>
      <c r="B24" s="16">
        <v>6</v>
      </c>
      <c r="C24" s="8">
        <f t="shared" si="5"/>
        <v>5600</v>
      </c>
      <c r="D24" s="73"/>
      <c r="E24" s="73"/>
      <c r="F24" s="73"/>
      <c r="G24" s="73"/>
      <c r="H24" s="73"/>
      <c r="I24" s="73"/>
      <c r="J24" s="73"/>
      <c r="K24" s="73"/>
      <c r="L24" s="11">
        <f t="shared" si="2"/>
        <v>48900</v>
      </c>
      <c r="M24" s="19">
        <v>32600</v>
      </c>
      <c r="N24" s="18">
        <f t="shared" si="3"/>
        <v>16300</v>
      </c>
    </row>
    <row r="25" spans="1:14" s="1" customFormat="1" ht="14.25" customHeight="1">
      <c r="A25" s="10" t="s">
        <v>17</v>
      </c>
      <c r="B25" s="16">
        <v>3</v>
      </c>
      <c r="C25" s="8">
        <f t="shared" si="5"/>
        <v>5600</v>
      </c>
      <c r="D25" s="73"/>
      <c r="E25" s="73"/>
      <c r="F25" s="73"/>
      <c r="G25" s="73"/>
      <c r="H25" s="73"/>
      <c r="I25" s="73"/>
      <c r="J25" s="73"/>
      <c r="K25" s="73"/>
      <c r="L25" s="11">
        <f t="shared" si="2"/>
        <v>24500</v>
      </c>
      <c r="M25" s="19">
        <v>24500</v>
      </c>
      <c r="N25" s="18">
        <f t="shared" si="3"/>
        <v>0</v>
      </c>
    </row>
    <row r="26" spans="1:14" ht="21.75" customHeight="1">
      <c r="A26" s="9" t="s">
        <v>21</v>
      </c>
      <c r="B26" s="2">
        <f>B20+B7</f>
        <v>320</v>
      </c>
      <c r="C26" s="2"/>
      <c r="D26" s="74"/>
      <c r="E26" s="74"/>
      <c r="F26" s="74"/>
      <c r="G26" s="74"/>
      <c r="H26" s="74"/>
      <c r="I26" s="74"/>
      <c r="J26" s="74"/>
      <c r="K26" s="74"/>
      <c r="L26" s="3">
        <f t="shared" ref="L26:N26" si="6">L20+L7</f>
        <v>2610100</v>
      </c>
      <c r="M26" s="3">
        <f t="shared" si="6"/>
        <v>2626400</v>
      </c>
      <c r="N26" s="3">
        <f t="shared" si="6"/>
        <v>-16299.999999999985</v>
      </c>
    </row>
    <row r="29" spans="1:14" ht="20.399999999999999">
      <c r="D29" s="13"/>
    </row>
  </sheetData>
  <autoFilter ref="A6:N26"/>
  <mergeCells count="20">
    <mergeCell ref="A1:L1"/>
    <mergeCell ref="A2:L2"/>
    <mergeCell ref="A3:L3"/>
    <mergeCell ref="A4:A5"/>
    <mergeCell ref="B4:B5"/>
    <mergeCell ref="C4:C5"/>
    <mergeCell ref="E4:E5"/>
    <mergeCell ref="F4:K4"/>
    <mergeCell ref="L4:L5"/>
    <mergeCell ref="H7:H26"/>
    <mergeCell ref="I7:I26"/>
    <mergeCell ref="M4:M5"/>
    <mergeCell ref="N4:N5"/>
    <mergeCell ref="D4:D5"/>
    <mergeCell ref="D7:D26"/>
    <mergeCell ref="K7:K26"/>
    <mergeCell ref="J7:J26"/>
    <mergeCell ref="E7:E26"/>
    <mergeCell ref="F7:F26"/>
    <mergeCell ref="G7:G26"/>
  </mergeCells>
  <pageMargins left="0.23622047244094491" right="0.23622047244094491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31"/>
  <sheetViews>
    <sheetView view="pageBreakPreview" topLeftCell="A7" zoomScaleNormal="100" zoomScaleSheetLayoutView="100" workbookViewId="0">
      <selection activeCell="O10" sqref="O10:O11"/>
    </sheetView>
  </sheetViews>
  <sheetFormatPr defaultRowHeight="14.4"/>
  <cols>
    <col min="1" max="1" width="41.5546875" style="40" customWidth="1"/>
    <col min="2" max="2" width="21.33203125" customWidth="1"/>
    <col min="3" max="3" width="18.88671875" customWidth="1"/>
    <col min="4" max="4" width="11.44140625" customWidth="1"/>
    <col min="5" max="5" width="15.88671875" customWidth="1"/>
    <col min="6" max="14" width="9.5546875" customWidth="1"/>
    <col min="15" max="15" width="23.5546875" customWidth="1"/>
    <col min="16" max="16" width="2.6640625" customWidth="1"/>
    <col min="17" max="17" width="13" customWidth="1"/>
  </cols>
  <sheetData>
    <row r="2" spans="1:17" ht="34.5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72" customHeight="1">
      <c r="A3" s="65" t="s">
        <v>42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7" ht="28.5" customHeight="1">
      <c r="A4" s="66" t="s">
        <v>47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7" s="4" customFormat="1" ht="98.25" customHeight="1">
      <c r="A5" s="70" t="s">
        <v>19</v>
      </c>
      <c r="B5" s="70" t="s">
        <v>23</v>
      </c>
      <c r="C5" s="70" t="s">
        <v>32</v>
      </c>
      <c r="D5" s="70" t="s">
        <v>39</v>
      </c>
      <c r="E5" s="70" t="s">
        <v>25</v>
      </c>
      <c r="F5" s="67" t="s">
        <v>24</v>
      </c>
      <c r="G5" s="68"/>
      <c r="H5" s="68"/>
      <c r="I5" s="68"/>
      <c r="J5" s="68"/>
      <c r="K5" s="68"/>
      <c r="L5" s="68"/>
      <c r="M5" s="68"/>
      <c r="N5" s="69"/>
      <c r="O5" s="70" t="s">
        <v>28</v>
      </c>
    </row>
    <row r="6" spans="1:17" ht="58.5" customHeight="1">
      <c r="A6" s="71"/>
      <c r="B6" s="71"/>
      <c r="C6" s="71"/>
      <c r="D6" s="71"/>
      <c r="E6" s="71"/>
      <c r="F6" s="22" t="s">
        <v>26</v>
      </c>
      <c r="G6" s="22" t="s">
        <v>27</v>
      </c>
      <c r="H6" s="22" t="s">
        <v>29</v>
      </c>
      <c r="I6" s="22" t="s">
        <v>30</v>
      </c>
      <c r="J6" s="22" t="s">
        <v>31</v>
      </c>
      <c r="K6" s="22" t="s">
        <v>34</v>
      </c>
      <c r="L6" s="22" t="s">
        <v>35</v>
      </c>
      <c r="M6" s="22" t="s">
        <v>38</v>
      </c>
      <c r="N6" s="22" t="s">
        <v>43</v>
      </c>
      <c r="O6" s="81"/>
    </row>
    <row r="7" spans="1:17" ht="21" customHeight="1">
      <c r="A7" s="38"/>
      <c r="B7" s="24"/>
      <c r="C7" s="24"/>
      <c r="D7" s="24"/>
      <c r="E7" s="30">
        <v>2022</v>
      </c>
      <c r="F7" s="23">
        <v>2013</v>
      </c>
      <c r="G7" s="23">
        <v>2014</v>
      </c>
      <c r="H7" s="23">
        <v>2015</v>
      </c>
      <c r="I7" s="23">
        <v>2016</v>
      </c>
      <c r="J7" s="23">
        <v>2017</v>
      </c>
      <c r="K7" s="23">
        <v>2018</v>
      </c>
      <c r="L7" s="23">
        <v>2019</v>
      </c>
      <c r="M7" s="23">
        <v>2020</v>
      </c>
      <c r="N7" s="23">
        <v>2021</v>
      </c>
      <c r="O7" s="71"/>
    </row>
    <row r="8" spans="1:17" s="4" customForma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</row>
    <row r="9" spans="1:17" ht="29.25" customHeight="1">
      <c r="A9" s="39" t="s">
        <v>20</v>
      </c>
      <c r="B9" s="2">
        <f>SUM(B10:B15)</f>
        <v>177</v>
      </c>
      <c r="C9" s="2"/>
      <c r="D9" s="72">
        <v>1.0149999999999999</v>
      </c>
      <c r="E9" s="72">
        <v>1.04</v>
      </c>
      <c r="F9" s="72">
        <v>1.0549999999999999</v>
      </c>
      <c r="G9" s="72">
        <v>1.05</v>
      </c>
      <c r="H9" s="72">
        <v>1.0449999999999999</v>
      </c>
      <c r="I9" s="72">
        <v>1.04</v>
      </c>
      <c r="J9" s="72">
        <v>1.119</v>
      </c>
      <c r="K9" s="72">
        <v>1.04</v>
      </c>
      <c r="L9" s="72">
        <v>1.04</v>
      </c>
      <c r="M9" s="72">
        <v>1.0349999999999999</v>
      </c>
      <c r="N9" s="72">
        <v>1.04</v>
      </c>
      <c r="O9" s="3">
        <f>SUM(O10:O15)</f>
        <v>1644000</v>
      </c>
      <c r="Q9" s="21">
        <f>ROUND(C17*E9*F9*G9*H9*I9*J9*K9*L9*M9*N9,2)</f>
        <v>9134.4699999999993</v>
      </c>
    </row>
    <row r="10" spans="1:17" s="1" customFormat="1" ht="20.25" customHeight="1">
      <c r="A10" s="43" t="s">
        <v>60</v>
      </c>
      <c r="B10" s="5">
        <v>5</v>
      </c>
      <c r="C10" s="8">
        <f t="shared" ref="C10:C23" si="0">4000*1.4</f>
        <v>5600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11">
        <f t="shared" ref="O10:O15" si="1">ROUNDUP(B10*C10*$E$9*$F$9*$G$9*$H$9*$I$9*$M$9*$J$9*$K$9*$L$9*$D$9*$N$9/1000,1)*1000</f>
        <v>46400</v>
      </c>
      <c r="P10" s="1">
        <f t="shared" ref="P10:P29" si="2">C10*$E$9*$F$9*$G$9*$H$9*$I$9*$J$9*$K$9*$L$9*$M$9*$N$9</f>
        <v>9134.4669539450933</v>
      </c>
    </row>
    <row r="11" spans="1:17" s="1" customFormat="1" ht="13.8">
      <c r="A11" s="43" t="s">
        <v>63</v>
      </c>
      <c r="B11" s="5">
        <v>1</v>
      </c>
      <c r="C11" s="8">
        <f t="shared" si="0"/>
        <v>5600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11">
        <f>ROUNDUP(B11*C11*$E$9*$F$9*$G$9*$H$9*$I$9*$M$9*$J$9*$K$9*$L$9*$D$9*$N$9/1000,1)*1000</f>
        <v>9299.9999999999982</v>
      </c>
      <c r="P11" s="1">
        <f>C11*$E$9*$F$9*$G$9*$H$9*$I$9*$J$9*$K$9*$L$9*$M$9*$N$9</f>
        <v>9134.4669539450933</v>
      </c>
    </row>
    <row r="12" spans="1:17" s="1" customFormat="1" ht="20.25" customHeight="1">
      <c r="A12" s="43" t="s">
        <v>61</v>
      </c>
      <c r="B12" s="5">
        <v>5</v>
      </c>
      <c r="C12" s="8">
        <f t="shared" si="0"/>
        <v>5600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11">
        <f t="shared" si="1"/>
        <v>46400</v>
      </c>
      <c r="P12" s="1">
        <f t="shared" si="2"/>
        <v>9134.4669539450933</v>
      </c>
    </row>
    <row r="13" spans="1:17" s="1" customFormat="1" ht="20.25" customHeight="1">
      <c r="A13" s="10" t="s">
        <v>57</v>
      </c>
      <c r="B13" s="5">
        <v>130</v>
      </c>
      <c r="C13" s="8">
        <f t="shared" si="0"/>
        <v>5600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11">
        <f>ROUNDUP(B13*C13*$E$9*$F$9*$G$9*$H$9*$I$9*$M$9*$J$9*$K$9*$L$9*$D$9*$N$9/1000,1)*1000</f>
        <v>1205300</v>
      </c>
      <c r="P13" s="1">
        <f>C13*$E$9*$F$9*$G$9*$H$9*$I$9*$J$9*$K$9*$L$9*$M$9*$N$9</f>
        <v>9134.4669539450933</v>
      </c>
    </row>
    <row r="14" spans="1:17" s="1" customFormat="1" ht="13.8">
      <c r="A14" s="43" t="s">
        <v>69</v>
      </c>
      <c r="B14" s="5">
        <v>1</v>
      </c>
      <c r="C14" s="8">
        <f>4000*1.8</f>
        <v>7200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11">
        <f t="shared" si="1"/>
        <v>12000</v>
      </c>
      <c r="P14" s="1">
        <f t="shared" si="2"/>
        <v>11744.314655072263</v>
      </c>
    </row>
    <row r="15" spans="1:17" s="1" customFormat="1" ht="13.8">
      <c r="A15" s="43" t="s">
        <v>62</v>
      </c>
      <c r="B15" s="5">
        <v>35</v>
      </c>
      <c r="C15" s="8">
        <f t="shared" si="0"/>
        <v>5600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11">
        <f t="shared" si="1"/>
        <v>324600</v>
      </c>
      <c r="P15" s="1">
        <f t="shared" si="2"/>
        <v>9134.4669539450933</v>
      </c>
    </row>
    <row r="16" spans="1:17" s="48" customFormat="1" ht="15.6">
      <c r="A16" s="39" t="s">
        <v>52</v>
      </c>
      <c r="B16" s="45">
        <f>SUM(B17:B23)</f>
        <v>96</v>
      </c>
      <c r="C16" s="45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46">
        <f>SUM(O17:O23)</f>
        <v>890400</v>
      </c>
      <c r="P16" s="47">
        <f t="shared" si="2"/>
        <v>0</v>
      </c>
    </row>
    <row r="17" spans="1:16" s="1" customFormat="1" ht="36" customHeight="1">
      <c r="A17" s="10" t="s">
        <v>54</v>
      </c>
      <c r="B17" s="12">
        <v>18</v>
      </c>
      <c r="C17" s="8">
        <f>4000*1.4</f>
        <v>5600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11">
        <f t="shared" ref="O17:O23" si="3">ROUNDUP(B17*C17*$E$9*$F$9*$G$9*$H$9*$I$9*$M$9*$J$9*$K$9*$L$9*$D$9*$N$9/1000,1)*1000</f>
        <v>166900</v>
      </c>
      <c r="P17" s="1">
        <f>C17*$F$9*$G$9*$H$9*$I$9*$J$9*$K$9*$L$9*$M$9*$N$9</f>
        <v>8783.1413018702824</v>
      </c>
    </row>
    <row r="18" spans="1:16" s="1" customFormat="1" ht="36" customHeight="1">
      <c r="A18" s="10" t="s">
        <v>55</v>
      </c>
      <c r="B18" s="5">
        <v>8</v>
      </c>
      <c r="C18" s="8">
        <f>4000*1.4</f>
        <v>5600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11">
        <f t="shared" si="3"/>
        <v>74199.999999999985</v>
      </c>
      <c r="P18" s="1">
        <f t="shared" ref="P18:P23" si="4">C18*$E$9*$F$9*$G$9*$H$9*$I$9*$J$9*$K$9*$L$9*$M$9*$N$9</f>
        <v>9134.4669539450933</v>
      </c>
    </row>
    <row r="19" spans="1:16" s="1" customFormat="1" ht="15.75" customHeight="1">
      <c r="A19" s="44" t="s">
        <v>64</v>
      </c>
      <c r="B19" s="5">
        <v>2</v>
      </c>
      <c r="C19" s="8">
        <f t="shared" si="0"/>
        <v>5600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11">
        <f t="shared" si="3"/>
        <v>18600</v>
      </c>
      <c r="P19" s="1">
        <f t="shared" si="4"/>
        <v>9134.4669539450933</v>
      </c>
    </row>
    <row r="20" spans="1:16" s="1" customFormat="1" ht="36" customHeight="1">
      <c r="A20" s="10" t="s">
        <v>56</v>
      </c>
      <c r="B20" s="5">
        <v>14</v>
      </c>
      <c r="C20" s="8">
        <f t="shared" si="0"/>
        <v>5600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11">
        <f t="shared" si="3"/>
        <v>129900</v>
      </c>
      <c r="P20" s="1">
        <f t="shared" si="4"/>
        <v>9134.4669539450933</v>
      </c>
    </row>
    <row r="21" spans="1:16" s="1" customFormat="1" ht="33.75" customHeight="1">
      <c r="A21" s="10" t="s">
        <v>58</v>
      </c>
      <c r="B21" s="5">
        <v>30</v>
      </c>
      <c r="C21" s="8">
        <f t="shared" si="0"/>
        <v>5600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11">
        <f t="shared" si="3"/>
        <v>278200.00000000006</v>
      </c>
      <c r="P21" s="1">
        <f t="shared" si="4"/>
        <v>9134.4669539450933</v>
      </c>
    </row>
    <row r="22" spans="1:16" s="1" customFormat="1" ht="13.8">
      <c r="A22" s="44" t="s">
        <v>49</v>
      </c>
      <c r="B22" s="5">
        <v>18</v>
      </c>
      <c r="C22" s="8">
        <f t="shared" ref="C22:C28" si="5">4000*1.4</f>
        <v>5600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11">
        <f t="shared" si="3"/>
        <v>166900</v>
      </c>
      <c r="P22" s="1">
        <f t="shared" si="4"/>
        <v>9134.4669539450933</v>
      </c>
    </row>
    <row r="23" spans="1:16" s="1" customFormat="1" ht="36" customHeight="1">
      <c r="A23" s="42" t="s">
        <v>59</v>
      </c>
      <c r="B23" s="5">
        <v>6</v>
      </c>
      <c r="C23" s="8">
        <f t="shared" si="0"/>
        <v>5600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11">
        <f t="shared" si="3"/>
        <v>55700</v>
      </c>
      <c r="P23" s="1">
        <f t="shared" si="4"/>
        <v>9134.4669539450933</v>
      </c>
    </row>
    <row r="24" spans="1:16" s="48" customFormat="1" ht="15.6">
      <c r="A24" s="39" t="s">
        <v>53</v>
      </c>
      <c r="B24" s="45">
        <f>SUM(B25:B28)</f>
        <v>41</v>
      </c>
      <c r="C24" s="45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46">
        <f>SUM(O25:O28)</f>
        <v>380500</v>
      </c>
      <c r="P24" s="47"/>
    </row>
    <row r="25" spans="1:16" s="1" customFormat="1" ht="13.8">
      <c r="A25" s="49" t="s">
        <v>65</v>
      </c>
      <c r="B25" s="12">
        <v>21</v>
      </c>
      <c r="C25" s="8">
        <f t="shared" si="5"/>
        <v>5600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11">
        <f>ROUNDUP(B25*C25*$E$9*$F$9*$G$9*$H$9*$I$9*$M$9*$J$9*$K$9*$L$9*$D$9*$N$9/1000,1)*1000</f>
        <v>194799.99999999997</v>
      </c>
      <c r="P25" s="1">
        <f t="shared" si="2"/>
        <v>9134.4669539450933</v>
      </c>
    </row>
    <row r="26" spans="1:16" s="1" customFormat="1" ht="13.8">
      <c r="A26" s="49" t="s">
        <v>66</v>
      </c>
      <c r="B26" s="5">
        <v>14</v>
      </c>
      <c r="C26" s="8">
        <f t="shared" si="5"/>
        <v>5600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11">
        <f t="shared" ref="O26:O28" si="6">ROUNDUP(B26*C26*$E$9*$F$9*$G$9*$H$9*$I$9*$M$9*$J$9*$K$9*$L$9*$D$9*$N$9/1000,1)*1000</f>
        <v>129900</v>
      </c>
      <c r="P26" s="1">
        <f t="shared" si="2"/>
        <v>9134.4669539450933</v>
      </c>
    </row>
    <row r="27" spans="1:16" s="1" customFormat="1" ht="13.8">
      <c r="A27" s="49" t="s">
        <v>67</v>
      </c>
      <c r="B27" s="5">
        <v>3</v>
      </c>
      <c r="C27" s="8">
        <f t="shared" si="5"/>
        <v>5600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11">
        <f t="shared" si="6"/>
        <v>27900.000000000004</v>
      </c>
      <c r="P27" s="1">
        <f t="shared" si="2"/>
        <v>9134.4669539450933</v>
      </c>
    </row>
    <row r="28" spans="1:16" s="1" customFormat="1" ht="13.8">
      <c r="A28" s="49" t="s">
        <v>68</v>
      </c>
      <c r="B28" s="5">
        <v>3</v>
      </c>
      <c r="C28" s="8">
        <f t="shared" si="5"/>
        <v>5600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11">
        <f t="shared" si="6"/>
        <v>27900.000000000004</v>
      </c>
      <c r="P28" s="1">
        <f t="shared" si="2"/>
        <v>9134.4669539450933</v>
      </c>
    </row>
    <row r="29" spans="1:16" ht="15.6">
      <c r="A29" s="39" t="s">
        <v>21</v>
      </c>
      <c r="B29" s="2">
        <f>B9+B16+B24</f>
        <v>314</v>
      </c>
      <c r="C29" s="2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3">
        <f>O16+O9+O24</f>
        <v>2914900</v>
      </c>
      <c r="P29" s="1">
        <f t="shared" si="2"/>
        <v>0</v>
      </c>
    </row>
    <row r="30" spans="1:16">
      <c r="O30" s="29"/>
    </row>
    <row r="31" spans="1:16" s="32" customFormat="1" ht="49.5" customHeight="1">
      <c r="A31" s="41" t="s">
        <v>50</v>
      </c>
      <c r="E31" s="31"/>
      <c r="G31" s="31" t="s">
        <v>51</v>
      </c>
      <c r="N31" s="33"/>
      <c r="O31" s="34"/>
    </row>
  </sheetData>
  <mergeCells count="21">
    <mergeCell ref="A2:O2"/>
    <mergeCell ref="A3:O3"/>
    <mergeCell ref="A4:O4"/>
    <mergeCell ref="A5:A6"/>
    <mergeCell ref="B5:B6"/>
    <mergeCell ref="C5:C6"/>
    <mergeCell ref="D5:D6"/>
    <mergeCell ref="E5:E6"/>
    <mergeCell ref="F5:N5"/>
    <mergeCell ref="O5:O7"/>
    <mergeCell ref="D9:D29"/>
    <mergeCell ref="E9:E29"/>
    <mergeCell ref="F9:F29"/>
    <mergeCell ref="G9:G29"/>
    <mergeCell ref="H9:H29"/>
    <mergeCell ref="I9:I29"/>
    <mergeCell ref="J9:J29"/>
    <mergeCell ref="K9:K29"/>
    <mergeCell ref="N9:N29"/>
    <mergeCell ref="M9:M29"/>
    <mergeCell ref="L9:L29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30"/>
  <sheetViews>
    <sheetView view="pageBreakPreview" topLeftCell="B10" zoomScaleNormal="100" zoomScaleSheetLayoutView="100" workbookViewId="0">
      <selection activeCell="O8" sqref="O8:O28"/>
    </sheetView>
  </sheetViews>
  <sheetFormatPr defaultRowHeight="14.4"/>
  <cols>
    <col min="1" max="1" width="41.88671875" customWidth="1"/>
    <col min="2" max="2" width="24.6640625" customWidth="1"/>
    <col min="3" max="3" width="18.88671875" customWidth="1"/>
    <col min="4" max="4" width="11.44140625" customWidth="1"/>
    <col min="5" max="5" width="15.88671875" customWidth="1"/>
    <col min="6" max="15" width="9.5546875" customWidth="1"/>
    <col min="16" max="16" width="22.88671875" customWidth="1"/>
    <col min="17" max="17" width="11" hidden="1" customWidth="1"/>
    <col min="18" max="18" width="18.33203125" customWidth="1"/>
    <col min="19" max="19" width="17.88671875" customWidth="1"/>
  </cols>
  <sheetData>
    <row r="2" spans="1:19" ht="72" customHeight="1">
      <c r="A2" s="65" t="s">
        <v>48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9" ht="28.5" customHeight="1">
      <c r="A3" s="66" t="s">
        <v>47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9" s="4" customFormat="1" ht="98.25" customHeight="1">
      <c r="A4" s="70" t="s">
        <v>19</v>
      </c>
      <c r="B4" s="70" t="s">
        <v>23</v>
      </c>
      <c r="C4" s="70" t="s">
        <v>32</v>
      </c>
      <c r="D4" s="70" t="s">
        <v>39</v>
      </c>
      <c r="E4" s="70" t="s">
        <v>25</v>
      </c>
      <c r="F4" s="67" t="s">
        <v>24</v>
      </c>
      <c r="G4" s="68"/>
      <c r="H4" s="68"/>
      <c r="I4" s="68"/>
      <c r="J4" s="68"/>
      <c r="K4" s="68"/>
      <c r="L4" s="68"/>
      <c r="M4" s="68"/>
      <c r="N4" s="68"/>
      <c r="O4" s="69"/>
      <c r="P4" s="70" t="s">
        <v>28</v>
      </c>
      <c r="R4" s="70" t="s">
        <v>71</v>
      </c>
      <c r="S4" s="70" t="s">
        <v>41</v>
      </c>
    </row>
    <row r="5" spans="1:19" ht="31.5" customHeight="1">
      <c r="A5" s="71"/>
      <c r="B5" s="71"/>
      <c r="C5" s="71"/>
      <c r="D5" s="71"/>
      <c r="E5" s="71"/>
      <c r="F5" s="26" t="s">
        <v>26</v>
      </c>
      <c r="G5" s="26" t="s">
        <v>27</v>
      </c>
      <c r="H5" s="26" t="s">
        <v>29</v>
      </c>
      <c r="I5" s="26" t="s">
        <v>30</v>
      </c>
      <c r="J5" s="26" t="s">
        <v>31</v>
      </c>
      <c r="K5" s="26" t="s">
        <v>34</v>
      </c>
      <c r="L5" s="26" t="s">
        <v>35</v>
      </c>
      <c r="M5" s="26" t="s">
        <v>38</v>
      </c>
      <c r="N5" s="26" t="s">
        <v>43</v>
      </c>
      <c r="O5" s="26" t="s">
        <v>44</v>
      </c>
      <c r="P5" s="81"/>
      <c r="R5" s="81"/>
      <c r="S5" s="81"/>
    </row>
    <row r="6" spans="1:19" ht="21" customHeight="1">
      <c r="A6" s="27"/>
      <c r="B6" s="27"/>
      <c r="C6" s="27"/>
      <c r="D6" s="27"/>
      <c r="E6" s="30">
        <v>2023</v>
      </c>
      <c r="F6" s="26">
        <v>2013</v>
      </c>
      <c r="G6" s="26">
        <v>2014</v>
      </c>
      <c r="H6" s="26">
        <v>2015</v>
      </c>
      <c r="I6" s="26">
        <v>2016</v>
      </c>
      <c r="J6" s="26">
        <v>2017</v>
      </c>
      <c r="K6" s="26">
        <v>2018</v>
      </c>
      <c r="L6" s="26">
        <v>2019</v>
      </c>
      <c r="M6" s="26">
        <v>2020</v>
      </c>
      <c r="N6" s="26">
        <v>2021</v>
      </c>
      <c r="O6" s="26">
        <v>2022</v>
      </c>
      <c r="P6" s="71"/>
      <c r="R6" s="71"/>
      <c r="S6" s="71"/>
    </row>
    <row r="7" spans="1:19" s="4" customForma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</row>
    <row r="8" spans="1:19" ht="35.25" customHeight="1">
      <c r="A8" s="9" t="s">
        <v>20</v>
      </c>
      <c r="B8" s="2">
        <f>SUM(B9:B14)</f>
        <v>180</v>
      </c>
      <c r="C8" s="2"/>
      <c r="D8" s="72">
        <v>1.0149999999999999</v>
      </c>
      <c r="E8" s="72">
        <v>1.0549999999999999</v>
      </c>
      <c r="F8" s="72">
        <v>1.0549999999999999</v>
      </c>
      <c r="G8" s="72">
        <v>1.05</v>
      </c>
      <c r="H8" s="72">
        <v>1.0449999999999999</v>
      </c>
      <c r="I8" s="72">
        <v>1.04</v>
      </c>
      <c r="J8" s="72">
        <v>1.119</v>
      </c>
      <c r="K8" s="72">
        <v>1.04</v>
      </c>
      <c r="L8" s="72">
        <v>1.04</v>
      </c>
      <c r="M8" s="72">
        <v>1.0349999999999999</v>
      </c>
      <c r="N8" s="72">
        <v>1.04</v>
      </c>
      <c r="O8" s="72">
        <v>1.04</v>
      </c>
      <c r="P8" s="3">
        <f>SUM(P9:P14)</f>
        <v>1766400</v>
      </c>
      <c r="R8" s="3">
        <v>1773800</v>
      </c>
      <c r="S8" s="3">
        <f>SUM(S9:S14)</f>
        <v>-7399.9999999999964</v>
      </c>
    </row>
    <row r="9" spans="1:19" s="1" customFormat="1" ht="20.25" customHeight="1">
      <c r="A9" s="43" t="s">
        <v>60</v>
      </c>
      <c r="B9" s="37">
        <v>8</v>
      </c>
      <c r="C9" s="8">
        <f t="shared" ref="C9:C22" si="0">4000*1.4</f>
        <v>5600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11">
        <f>ROUNDUP(B9*C9*$E$8*$F$8*$G$8*$H$8*$I$8*$M$8*$J$8*$K$8*$L$8*$D$8*$N$8*$O$8/1000,1)*1000</f>
        <v>78300</v>
      </c>
      <c r="Q9" s="1">
        <f t="shared" ref="Q9:Q14" si="1">C9*$E$8*$F$8*$G$8*$H$8*$I$8*$J$8*$K$8*$L$8*$M$8*$N$8</f>
        <v>9266.2140734731456</v>
      </c>
      <c r="R9" s="11">
        <v>185500</v>
      </c>
      <c r="S9" s="21">
        <f t="shared" ref="S9:S27" si="2">P9-R9</f>
        <v>-107200</v>
      </c>
    </row>
    <row r="10" spans="1:19" s="1" customFormat="1">
      <c r="A10" s="43" t="s">
        <v>63</v>
      </c>
      <c r="B10" s="5">
        <v>1</v>
      </c>
      <c r="C10" s="8">
        <f t="shared" si="0"/>
        <v>5600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11">
        <f>ROUNDUP(B10*C10*$E$8*$F$8*$G$8*$H$8*$I$8*$M$8*$J$8*$K$8*$L$8*$D$8*$N$8*$O$8/1000,1)*1000</f>
        <v>9799.9999999999982</v>
      </c>
      <c r="Q10" s="1">
        <f t="shared" si="1"/>
        <v>9266.2140734731456</v>
      </c>
      <c r="R10" s="11">
        <v>9299.9999999999982</v>
      </c>
      <c r="S10" s="21">
        <f t="shared" si="2"/>
        <v>500</v>
      </c>
    </row>
    <row r="11" spans="1:19" s="1" customFormat="1" ht="20.25" customHeight="1">
      <c r="A11" s="43" t="s">
        <v>61</v>
      </c>
      <c r="B11" s="5">
        <v>1</v>
      </c>
      <c r="C11" s="8">
        <f t="shared" si="0"/>
        <v>5600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11">
        <f>ROUNDUP(B11*C11*$E$8*$F$8*$G$8*$H$8*$I$8*$M$8*$J$8*$K$8*$L$8*$D$8*$N$8*$O$8/1000,1)*1000</f>
        <v>9799.9999999999982</v>
      </c>
      <c r="Q11" s="1">
        <f t="shared" si="1"/>
        <v>9266.2140734731456</v>
      </c>
      <c r="R11" s="11">
        <v>9299.9999999999982</v>
      </c>
      <c r="S11" s="21">
        <f t="shared" si="2"/>
        <v>500</v>
      </c>
    </row>
    <row r="12" spans="1:19" s="1" customFormat="1" ht="20.25" customHeight="1">
      <c r="A12" s="43" t="s">
        <v>57</v>
      </c>
      <c r="B12" s="5">
        <v>130</v>
      </c>
      <c r="C12" s="8">
        <f t="shared" si="0"/>
        <v>5600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11">
        <f t="shared" ref="P12:P14" si="3">ROUNDUP(B12*C12*$E$8*$F$8*$G$8*$H$8*$I$8*$M$8*$J$8*$K$8*$L$8*$D$8*$N$8*$O$8/1000,1)*1000</f>
        <v>1271600</v>
      </c>
      <c r="Q12" s="1">
        <f t="shared" si="1"/>
        <v>9266.2140734731456</v>
      </c>
      <c r="R12" s="11">
        <v>1205300</v>
      </c>
      <c r="S12" s="21">
        <f t="shared" si="2"/>
        <v>66300</v>
      </c>
    </row>
    <row r="13" spans="1:19" s="1" customFormat="1">
      <c r="A13" s="43" t="s">
        <v>69</v>
      </c>
      <c r="B13" s="5">
        <v>2</v>
      </c>
      <c r="C13" s="8">
        <f>4000*1.8</f>
        <v>7200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11">
        <f>ROUNDUP(B13*C13*$E$8*$F$8*$G$8*$H$8*$I$8*$M$8*$J$8*$K$8*$L$8*$D$8*$N$8*$O$8/1000,1)*1000</f>
        <v>25200.000000000004</v>
      </c>
      <c r="Q13" s="1">
        <f t="shared" si="1"/>
        <v>11913.703808751192</v>
      </c>
      <c r="R13" s="11">
        <v>12000</v>
      </c>
      <c r="S13" s="51">
        <f t="shared" si="2"/>
        <v>13200.000000000004</v>
      </c>
    </row>
    <row r="14" spans="1:19" s="1" customFormat="1" ht="21.75" customHeight="1">
      <c r="A14" s="43" t="s">
        <v>62</v>
      </c>
      <c r="B14" s="5">
        <v>38</v>
      </c>
      <c r="C14" s="8">
        <f t="shared" si="0"/>
        <v>5600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11">
        <f t="shared" si="3"/>
        <v>371700.00000000006</v>
      </c>
      <c r="Q14" s="1">
        <f t="shared" si="1"/>
        <v>9266.2140734731456</v>
      </c>
      <c r="R14" s="11">
        <v>352400.00000000006</v>
      </c>
      <c r="S14" s="21">
        <f t="shared" si="2"/>
        <v>19300</v>
      </c>
    </row>
    <row r="15" spans="1:19" s="1" customFormat="1" ht="20.25" customHeight="1">
      <c r="A15" s="39" t="s">
        <v>52</v>
      </c>
      <c r="B15" s="2">
        <f>SUM(B16:B22)</f>
        <v>50</v>
      </c>
      <c r="C15" s="8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3">
        <f>SUM(P16:P22)</f>
        <v>489400</v>
      </c>
      <c r="R15" s="3">
        <v>714200</v>
      </c>
      <c r="S15" s="3">
        <f>SUM(S16:S22)</f>
        <v>-224800.00000000006</v>
      </c>
    </row>
    <row r="16" spans="1:19" s="1" customFormat="1" ht="33" customHeight="1">
      <c r="A16" s="50" t="s">
        <v>54</v>
      </c>
      <c r="B16" s="12">
        <v>18</v>
      </c>
      <c r="C16" s="8">
        <f>4000*1.4</f>
        <v>5600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11">
        <f>ROUNDUP(B16*C16*$E$8*$F$8*$G$8*$H$8*$I$8*$M$8*$J$8*$K$8*$L$8*$D$8*$N$8*$O$8/1000,1)*1000</f>
        <v>176100</v>
      </c>
      <c r="Q16" s="1">
        <f>C16*$E$8*$F$8*$G$8*$H$8*$I$8*$J$8*$K$8*$L$8*$M$8*$N$8*$O$8</f>
        <v>9636.8626364120719</v>
      </c>
      <c r="R16" s="11">
        <v>166900</v>
      </c>
      <c r="S16" s="21">
        <f t="shared" si="2"/>
        <v>9200</v>
      </c>
    </row>
    <row r="17" spans="1:19" s="1" customFormat="1" ht="33" customHeight="1">
      <c r="A17" s="50" t="s">
        <v>55</v>
      </c>
      <c r="B17" s="5">
        <v>10</v>
      </c>
      <c r="C17" s="8">
        <f t="shared" si="0"/>
        <v>5600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11">
        <f>ROUNDUP(B17*C17*$E$8*$F$8*$G$8*$H$8*$I$8*$M$8*$J$8*$K$8*$L$8*$D$8*$N$8*$O$8/1000,1)*1000</f>
        <v>97899.999999999985</v>
      </c>
      <c r="Q17" s="1">
        <f>C17*$E$8*$F$8*$G$8*$H$8*$I$8*$J$8*$K$8*$L$8*$M$8*$N$8</f>
        <v>9266.2140734731456</v>
      </c>
      <c r="R17" s="11">
        <v>46400</v>
      </c>
      <c r="S17" s="51">
        <f t="shared" si="2"/>
        <v>51499.999999999985</v>
      </c>
    </row>
    <row r="18" spans="1:19" s="1" customFormat="1">
      <c r="A18" s="44" t="s">
        <v>64</v>
      </c>
      <c r="B18" s="5">
        <v>2</v>
      </c>
      <c r="C18" s="8">
        <f t="shared" si="0"/>
        <v>5600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11">
        <f>ROUNDUP(B18*C18*$E$8*$F$8*$G$8*$H$8*$I$8*$M$8*$J$8*$K$8*$L$8*$D$8*$N$8*$O$8/1000,1)*1000</f>
        <v>19600</v>
      </c>
      <c r="Q18" s="1">
        <f>C18*$E$8*$F$8*$G$8*$H$8*$I$8*$J$8*$K$8*$L$8*$M$8*$N$8</f>
        <v>9266.2140734731456</v>
      </c>
      <c r="R18" s="11">
        <v>18600</v>
      </c>
      <c r="S18" s="21">
        <f t="shared" si="2"/>
        <v>1000</v>
      </c>
    </row>
    <row r="19" spans="1:19" s="1" customFormat="1" ht="33" customHeight="1">
      <c r="A19" s="50" t="s">
        <v>56</v>
      </c>
      <c r="B19" s="5">
        <v>8</v>
      </c>
      <c r="C19" s="8">
        <f t="shared" si="0"/>
        <v>5600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11">
        <f>ROUNDUP(B19*C19*$E$8*$F$8*$G$8*$H$8*$I$8*$M$8*$J$8*$K$8*$L$8*$D$8*$N$8*$O$8/1000,1)*1000</f>
        <v>78300</v>
      </c>
      <c r="Q19" s="1">
        <f>C19*$E$8*$F$8*$G$8*$H$8*$I$8*$J$8*$K$8*$L$8*$M$8*$N$8</f>
        <v>9266.2140734731456</v>
      </c>
      <c r="R19" s="11">
        <v>111300</v>
      </c>
      <c r="S19" s="21">
        <f t="shared" si="2"/>
        <v>-33000</v>
      </c>
    </row>
    <row r="20" spans="1:19" s="1" customFormat="1" ht="32.25" customHeight="1">
      <c r="A20" s="49" t="s">
        <v>58</v>
      </c>
      <c r="B20" s="5">
        <v>9</v>
      </c>
      <c r="C20" s="8">
        <f t="shared" si="0"/>
        <v>5600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11">
        <f t="shared" ref="P20:P22" si="4">ROUNDUP(B20*C20*$E$8*$F$8*$G$8*$H$8*$I$8*$M$8*$J$8*$K$8*$L$8*$D$8*$N$8*$O$8/1000,1)*1000</f>
        <v>88100</v>
      </c>
      <c r="Q20" s="1">
        <f t="shared" ref="Q20:Q28" si="5">C20*$E$8*$F$8*$G$8*$H$8*$I$8*$J$8*$K$8*$L$8*$M$8*$N$8</f>
        <v>9266.2140734731456</v>
      </c>
      <c r="R20" s="11">
        <v>278200.00000000006</v>
      </c>
      <c r="S20" s="21">
        <f t="shared" si="2"/>
        <v>-190100.00000000006</v>
      </c>
    </row>
    <row r="21" spans="1:19" s="1" customFormat="1">
      <c r="A21" s="44" t="s">
        <v>49</v>
      </c>
      <c r="B21" s="5">
        <v>0</v>
      </c>
      <c r="C21" s="8">
        <f t="shared" ref="C21:C27" si="6">4000*1.4</f>
        <v>5600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11">
        <f>ROUNDUP(B21*C21*$E$8*$F$8*$G$8*$H$8*$I$8*$M$8*$J$8*$K$8*$L$8*$D$8*$N$8*$O$8/1000,1)*1000</f>
        <v>0</v>
      </c>
      <c r="Q21" s="1">
        <f>C21*$E$8*$F$8*$G$8*$H$8*$I$8*$J$8*$K$8*$L$8*$M$8*$N$8</f>
        <v>9266.2140734731456</v>
      </c>
      <c r="R21" s="11">
        <v>74199.999999999985</v>
      </c>
      <c r="S21" s="21">
        <f t="shared" si="2"/>
        <v>-74199.999999999985</v>
      </c>
    </row>
    <row r="22" spans="1:19" s="1" customFormat="1" ht="27.6">
      <c r="A22" s="50" t="s">
        <v>59</v>
      </c>
      <c r="B22" s="5">
        <v>3</v>
      </c>
      <c r="C22" s="8">
        <f t="shared" si="0"/>
        <v>5600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11">
        <f t="shared" si="4"/>
        <v>29400.000000000004</v>
      </c>
      <c r="Q22" s="1">
        <f t="shared" si="5"/>
        <v>9266.2140734731456</v>
      </c>
      <c r="R22" s="11">
        <v>18600</v>
      </c>
      <c r="S22" s="51">
        <f t="shared" si="2"/>
        <v>10800.000000000004</v>
      </c>
    </row>
    <row r="23" spans="1:19" ht="15.6">
      <c r="A23" s="39" t="s">
        <v>53</v>
      </c>
      <c r="B23" s="2">
        <f>SUM(B24:B27)</f>
        <v>45</v>
      </c>
      <c r="C23" s="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3">
        <f>SUM(P24:P27)</f>
        <v>440400</v>
      </c>
      <c r="Q23" s="1">
        <f t="shared" si="5"/>
        <v>0</v>
      </c>
      <c r="R23" s="3">
        <v>454600</v>
      </c>
      <c r="S23" s="3">
        <f>SUM(S24:S27)</f>
        <v>-14199.999999999971</v>
      </c>
    </row>
    <row r="24" spans="1:19" s="1" customFormat="1">
      <c r="A24" s="49" t="s">
        <v>65</v>
      </c>
      <c r="B24" s="12">
        <v>21</v>
      </c>
      <c r="C24" s="8">
        <f t="shared" si="6"/>
        <v>5600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11">
        <f t="shared" ref="P24:P27" si="7">ROUNDUP(B24*C24*$E$8*$F$8*$G$8*$H$8*$I$8*$M$8*$J$8*$K$8*$L$8*$D$8*$N$8*$O$8/1000,1)*1000</f>
        <v>205500</v>
      </c>
      <c r="Q24" s="1">
        <f t="shared" si="5"/>
        <v>9266.2140734731456</v>
      </c>
      <c r="R24" s="11">
        <v>194799.99999999997</v>
      </c>
      <c r="S24" s="21">
        <f t="shared" si="2"/>
        <v>10700.000000000029</v>
      </c>
    </row>
    <row r="25" spans="1:19" s="1" customFormat="1">
      <c r="A25" s="49" t="s">
        <v>66</v>
      </c>
      <c r="B25" s="5">
        <v>14</v>
      </c>
      <c r="C25" s="8">
        <f t="shared" si="6"/>
        <v>5600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11">
        <f t="shared" si="7"/>
        <v>137000</v>
      </c>
      <c r="Q25" s="1">
        <f t="shared" si="5"/>
        <v>9266.2140734731456</v>
      </c>
      <c r="R25" s="11">
        <v>129900</v>
      </c>
      <c r="S25" s="21">
        <f t="shared" si="2"/>
        <v>7100</v>
      </c>
    </row>
    <row r="26" spans="1:19" s="1" customFormat="1">
      <c r="A26" s="49" t="s">
        <v>67</v>
      </c>
      <c r="B26" s="5">
        <v>7</v>
      </c>
      <c r="C26" s="8">
        <f t="shared" si="6"/>
        <v>5600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11">
        <f t="shared" si="7"/>
        <v>68500</v>
      </c>
      <c r="Q26" s="1">
        <f t="shared" si="5"/>
        <v>9266.2140734731456</v>
      </c>
      <c r="R26" s="11">
        <v>102000</v>
      </c>
      <c r="S26" s="21">
        <f t="shared" si="2"/>
        <v>-33500</v>
      </c>
    </row>
    <row r="27" spans="1:19" s="1" customFormat="1">
      <c r="A27" s="49" t="s">
        <v>68</v>
      </c>
      <c r="B27" s="5">
        <v>3</v>
      </c>
      <c r="C27" s="8">
        <f t="shared" si="6"/>
        <v>5600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11">
        <f t="shared" si="7"/>
        <v>29400.000000000004</v>
      </c>
      <c r="Q27" s="1">
        <f t="shared" si="5"/>
        <v>9266.2140734731456</v>
      </c>
      <c r="R27" s="11">
        <v>27900.000000000004</v>
      </c>
      <c r="S27" s="21">
        <f t="shared" si="2"/>
        <v>1500</v>
      </c>
    </row>
    <row r="28" spans="1:19" ht="15.6">
      <c r="A28" s="9" t="s">
        <v>21</v>
      </c>
      <c r="B28" s="2">
        <f>B8+B23+B15</f>
        <v>275</v>
      </c>
      <c r="C28" s="2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3">
        <f>P23+P8+P15</f>
        <v>2696200</v>
      </c>
      <c r="Q28" s="1">
        <f t="shared" si="5"/>
        <v>0</v>
      </c>
      <c r="R28" s="3">
        <v>2942600</v>
      </c>
      <c r="S28" s="3">
        <f>S23+S8+S15</f>
        <v>-246400.00000000003</v>
      </c>
    </row>
    <row r="29" spans="1:19">
      <c r="P29" s="29"/>
    </row>
    <row r="30" spans="1:19" s="32" customFormat="1" ht="49.5" customHeight="1">
      <c r="A30" s="31" t="s">
        <v>50</v>
      </c>
      <c r="E30" s="31"/>
      <c r="G30" s="31" t="s">
        <v>51</v>
      </c>
      <c r="N30" s="33"/>
      <c r="O30" s="34"/>
    </row>
  </sheetData>
  <mergeCells count="23">
    <mergeCell ref="R4:R6"/>
    <mergeCell ref="S4:S6"/>
    <mergeCell ref="A2:P2"/>
    <mergeCell ref="A3:P3"/>
    <mergeCell ref="A4:A5"/>
    <mergeCell ref="B4:B5"/>
    <mergeCell ref="C4:C5"/>
    <mergeCell ref="D4:D5"/>
    <mergeCell ref="E4:E5"/>
    <mergeCell ref="P4:P6"/>
    <mergeCell ref="F4:O4"/>
    <mergeCell ref="N8:N28"/>
    <mergeCell ref="O8:O28"/>
    <mergeCell ref="D8:D28"/>
    <mergeCell ref="E8:E28"/>
    <mergeCell ref="F8:F28"/>
    <mergeCell ref="G8:G28"/>
    <mergeCell ref="H8:H28"/>
    <mergeCell ref="I8:I28"/>
    <mergeCell ref="J8:J28"/>
    <mergeCell ref="K8:K28"/>
    <mergeCell ref="L8:L28"/>
    <mergeCell ref="M8:M28"/>
  </mergeCells>
  <pageMargins left="0.19" right="0.17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31"/>
  <sheetViews>
    <sheetView topLeftCell="A10" zoomScaleNormal="100" workbookViewId="0">
      <selection activeCell="B27" sqref="B27"/>
    </sheetView>
  </sheetViews>
  <sheetFormatPr defaultRowHeight="14.4"/>
  <cols>
    <col min="1" max="1" width="41.88671875" customWidth="1"/>
    <col min="2" max="2" width="24.6640625" customWidth="1"/>
    <col min="3" max="3" width="18.88671875" customWidth="1"/>
    <col min="4" max="4" width="17" customWidth="1"/>
    <col min="5" max="5" width="18.6640625" customWidth="1"/>
    <col min="6" max="16" width="9.5546875" customWidth="1"/>
    <col min="17" max="17" width="17.6640625" customWidth="1"/>
    <col min="18" max="18" width="17.5546875" customWidth="1"/>
    <col min="19" max="19" width="15.6640625" customWidth="1"/>
  </cols>
  <sheetData>
    <row r="2" spans="1:19" ht="34.5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9" ht="72" customHeight="1">
      <c r="A3" s="82" t="s">
        <v>45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28.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Q4" t="s">
        <v>47</v>
      </c>
    </row>
    <row r="5" spans="1:19" s="4" customFormat="1" ht="98.25" customHeight="1">
      <c r="A5" s="70" t="s">
        <v>19</v>
      </c>
      <c r="B5" s="70" t="s">
        <v>23</v>
      </c>
      <c r="C5" s="70" t="s">
        <v>32</v>
      </c>
      <c r="D5" s="70" t="s">
        <v>39</v>
      </c>
      <c r="E5" s="70" t="s">
        <v>25</v>
      </c>
      <c r="F5" s="83" t="s">
        <v>24</v>
      </c>
      <c r="G5" s="84"/>
      <c r="H5" s="84"/>
      <c r="I5" s="84"/>
      <c r="J5" s="84"/>
      <c r="K5" s="84"/>
      <c r="L5" s="84"/>
      <c r="M5" s="84"/>
      <c r="N5" s="84"/>
      <c r="O5" s="84"/>
      <c r="P5" s="85"/>
      <c r="Q5" s="70" t="s">
        <v>28</v>
      </c>
      <c r="R5" s="70" t="s">
        <v>71</v>
      </c>
      <c r="S5" s="70" t="s">
        <v>41</v>
      </c>
    </row>
    <row r="6" spans="1:19" ht="21" customHeight="1">
      <c r="A6" s="71"/>
      <c r="B6" s="71"/>
      <c r="C6" s="71"/>
      <c r="D6" s="71"/>
      <c r="E6" s="71"/>
      <c r="F6" s="28" t="s">
        <v>26</v>
      </c>
      <c r="G6" s="28" t="s">
        <v>27</v>
      </c>
      <c r="H6" s="28" t="s">
        <v>29</v>
      </c>
      <c r="I6" s="28" t="s">
        <v>30</v>
      </c>
      <c r="J6" s="28" t="s">
        <v>31</v>
      </c>
      <c r="K6" s="28" t="s">
        <v>34</v>
      </c>
      <c r="L6" s="28" t="s">
        <v>35</v>
      </c>
      <c r="M6" s="28" t="s">
        <v>38</v>
      </c>
      <c r="N6" s="28" t="s">
        <v>43</v>
      </c>
      <c r="O6" s="28" t="s">
        <v>44</v>
      </c>
      <c r="P6" s="28" t="s">
        <v>46</v>
      </c>
      <c r="Q6" s="81"/>
      <c r="R6" s="81"/>
      <c r="S6" s="81"/>
    </row>
    <row r="7" spans="1:19" ht="21" customHeight="1">
      <c r="A7" s="24"/>
      <c r="B7" s="24"/>
      <c r="C7" s="24"/>
      <c r="D7" s="24"/>
      <c r="E7" s="30">
        <v>2024</v>
      </c>
      <c r="F7" s="28">
        <v>2013</v>
      </c>
      <c r="G7" s="28">
        <v>2014</v>
      </c>
      <c r="H7" s="28">
        <v>2015</v>
      </c>
      <c r="I7" s="28">
        <v>2016</v>
      </c>
      <c r="J7" s="28">
        <v>2017</v>
      </c>
      <c r="K7" s="28">
        <v>2018</v>
      </c>
      <c r="L7" s="28">
        <v>2019</v>
      </c>
      <c r="M7" s="28">
        <v>2020</v>
      </c>
      <c r="N7" s="28">
        <v>2021</v>
      </c>
      <c r="O7" s="28">
        <v>2022</v>
      </c>
      <c r="P7" s="28">
        <v>2023</v>
      </c>
      <c r="Q7" s="71"/>
      <c r="R7" s="71"/>
      <c r="S7" s="71"/>
    </row>
    <row r="8" spans="1:19" s="4" customForma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</row>
    <row r="9" spans="1:19" ht="35.25" customHeight="1">
      <c r="A9" s="9" t="s">
        <v>20</v>
      </c>
      <c r="B9" s="35">
        <f>SUM(B10:B15)</f>
        <v>182</v>
      </c>
      <c r="C9" s="2"/>
      <c r="D9" s="72">
        <v>1.0149999999999999</v>
      </c>
      <c r="E9" s="72">
        <v>1</v>
      </c>
      <c r="F9" s="72">
        <v>1.0549999999999999</v>
      </c>
      <c r="G9" s="72">
        <v>1.05</v>
      </c>
      <c r="H9" s="72">
        <v>1.0449999999999999</v>
      </c>
      <c r="I9" s="72">
        <v>1.04</v>
      </c>
      <c r="J9" s="72">
        <v>1.119</v>
      </c>
      <c r="K9" s="72">
        <v>1.04</v>
      </c>
      <c r="L9" s="72">
        <v>1.04</v>
      </c>
      <c r="M9" s="72">
        <v>1.0349999999999999</v>
      </c>
      <c r="N9" s="72">
        <v>1.04</v>
      </c>
      <c r="O9" s="72">
        <v>1.04</v>
      </c>
      <c r="P9" s="72">
        <v>1.0549999999999999</v>
      </c>
      <c r="Q9" s="3">
        <f>SUM(Q10:Q15)</f>
        <v>1783200</v>
      </c>
      <c r="R9" s="3">
        <v>1753800</v>
      </c>
      <c r="S9" s="3">
        <f>SUM(S10:S15)</f>
        <v>29399.999999999927</v>
      </c>
    </row>
    <row r="10" spans="1:19" s="1" customFormat="1" ht="20.25" customHeight="1">
      <c r="A10" s="43" t="s">
        <v>60</v>
      </c>
      <c r="B10" s="52">
        <v>10</v>
      </c>
      <c r="C10" s="8">
        <f t="shared" ref="C10:C23" si="0">4000*1.4</f>
        <v>5600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11">
        <f t="shared" ref="Q10:Q15" si="1">ROUNDUP(B10*C10*$E$9*$F$9*$G$9*$H$9*$I$9*$M$9*$J$9*$K$9*$L$9*$D$9*$N$9*$O$9*$P$9/1000,1)*1000</f>
        <v>97899.999999999985</v>
      </c>
      <c r="R10" s="11">
        <v>78300</v>
      </c>
      <c r="S10" s="54">
        <f>Q10-R10</f>
        <v>19599.999999999985</v>
      </c>
    </row>
    <row r="11" spans="1:19" s="1" customFormat="1" ht="20.25" customHeight="1">
      <c r="A11" s="43" t="s">
        <v>63</v>
      </c>
      <c r="B11" s="52">
        <v>1</v>
      </c>
      <c r="C11" s="8">
        <f t="shared" si="0"/>
        <v>5600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11">
        <f t="shared" si="1"/>
        <v>9799.9999999999982</v>
      </c>
      <c r="R11" s="11">
        <v>9799.9999999999982</v>
      </c>
      <c r="S11" s="54">
        <f t="shared" ref="S11:S28" si="2">Q11-R11</f>
        <v>0</v>
      </c>
    </row>
    <row r="12" spans="1:19" s="1" customFormat="1" ht="20.25" customHeight="1">
      <c r="A12" s="43" t="s">
        <v>61</v>
      </c>
      <c r="B12" s="52">
        <v>1</v>
      </c>
      <c r="C12" s="8">
        <f t="shared" si="0"/>
        <v>5600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11">
        <f t="shared" si="1"/>
        <v>9799.9999999999982</v>
      </c>
      <c r="R12" s="11">
        <v>9799.9999999999982</v>
      </c>
      <c r="S12" s="54">
        <f t="shared" si="2"/>
        <v>0</v>
      </c>
    </row>
    <row r="13" spans="1:19" s="1" customFormat="1" ht="20.25" customHeight="1">
      <c r="A13" s="43" t="s">
        <v>57</v>
      </c>
      <c r="B13" s="52">
        <v>130</v>
      </c>
      <c r="C13" s="8">
        <f t="shared" si="0"/>
        <v>5600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11">
        <f t="shared" si="1"/>
        <v>1271600</v>
      </c>
      <c r="R13" s="11">
        <v>1271600</v>
      </c>
      <c r="S13" s="54">
        <f t="shared" si="2"/>
        <v>0</v>
      </c>
    </row>
    <row r="14" spans="1:19" s="1" customFormat="1" ht="20.25" customHeight="1">
      <c r="A14" s="43" t="s">
        <v>69</v>
      </c>
      <c r="B14" s="52">
        <v>1</v>
      </c>
      <c r="C14" s="8">
        <f>4000*1.8</f>
        <v>7200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11">
        <f t="shared" si="1"/>
        <v>12600</v>
      </c>
      <c r="R14" s="11">
        <v>12600</v>
      </c>
      <c r="S14" s="54">
        <f t="shared" si="2"/>
        <v>0</v>
      </c>
    </row>
    <row r="15" spans="1:19" s="1" customFormat="1" ht="20.25" customHeight="1">
      <c r="A15" s="43" t="s">
        <v>62</v>
      </c>
      <c r="B15" s="52">
        <v>39</v>
      </c>
      <c r="C15" s="8">
        <f t="shared" si="0"/>
        <v>5600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11">
        <f t="shared" si="1"/>
        <v>381500</v>
      </c>
      <c r="R15" s="11">
        <v>371700.00000000006</v>
      </c>
      <c r="S15" s="54">
        <f t="shared" si="2"/>
        <v>9799.9999999999418</v>
      </c>
    </row>
    <row r="16" spans="1:19" s="1" customFormat="1" ht="23.25" customHeight="1">
      <c r="A16" s="39" t="s">
        <v>52</v>
      </c>
      <c r="B16" s="2">
        <f>SUM(B17:B23)</f>
        <v>65</v>
      </c>
      <c r="C16" s="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3">
        <f>SUM(Q17:Q23)</f>
        <v>636300</v>
      </c>
      <c r="R16" s="3">
        <v>626400</v>
      </c>
      <c r="S16" s="3">
        <f>SUM(S17:S23)</f>
        <v>9899.9999999999818</v>
      </c>
    </row>
    <row r="17" spans="1:19" s="1" customFormat="1" ht="33.75" customHeight="1">
      <c r="A17" s="50" t="s">
        <v>54</v>
      </c>
      <c r="B17" s="53">
        <v>18</v>
      </c>
      <c r="C17" s="8">
        <f>4000*1.4</f>
        <v>5600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11">
        <f>ROUNDUP(B17*C17*$E$9*$F$9*$G$9*$H$9*$I$9*$M$9*$J$9*$K$9*$L$9*$D$9*$N$9*$O$9*$P$9/1000,1)*1000</f>
        <v>176100</v>
      </c>
      <c r="R17" s="11">
        <v>195700</v>
      </c>
      <c r="S17" s="54">
        <f t="shared" si="2"/>
        <v>-19600</v>
      </c>
    </row>
    <row r="18" spans="1:19" s="1" customFormat="1" ht="33.75" customHeight="1">
      <c r="A18" s="50" t="s">
        <v>55</v>
      </c>
      <c r="B18" s="52">
        <v>10</v>
      </c>
      <c r="C18" s="8">
        <f t="shared" si="0"/>
        <v>5600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11">
        <f>ROUNDUP(B18*C18*$E$9*$F$9*$G$9*$H$9*$I$9*$M$9*$J$9*$K$9*$L$9*$D$9*$N$9*$O$9*$P$9/1000,1)*1000</f>
        <v>97899.999999999985</v>
      </c>
      <c r="R18" s="11">
        <v>97899.999999999985</v>
      </c>
      <c r="S18" s="54">
        <f t="shared" si="2"/>
        <v>0</v>
      </c>
    </row>
    <row r="19" spans="1:19" s="1" customFormat="1" ht="20.25" customHeight="1">
      <c r="A19" s="44" t="s">
        <v>64</v>
      </c>
      <c r="B19" s="52">
        <v>10</v>
      </c>
      <c r="C19" s="8">
        <f t="shared" si="0"/>
        <v>5600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11">
        <f t="shared" ref="Q19" si="3">ROUNDUP(B19*C19*$E$9*$F$9*$G$9*$H$9*$I$9*$M$9*$J$9*$K$9*$L$9*$D$9*$N$9*$O$9*$P$9/1000,1)*1000</f>
        <v>97899.999999999985</v>
      </c>
      <c r="R19" s="11">
        <v>19600</v>
      </c>
      <c r="S19" s="54">
        <f t="shared" si="2"/>
        <v>78299.999999999985</v>
      </c>
    </row>
    <row r="20" spans="1:19" s="1" customFormat="1" ht="33.75" customHeight="1">
      <c r="A20" s="50" t="s">
        <v>56</v>
      </c>
      <c r="B20" s="52">
        <v>8</v>
      </c>
      <c r="C20" s="8">
        <f t="shared" si="0"/>
        <v>5600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11">
        <f>ROUNDUP(B20*C20*$E$9*$F$9*$G$9*$H$9*$I$9*$M$9*$J$9*$K$9*$L$9*$D$9*$N$9*$O$9*$P$9/1000,1)*1000</f>
        <v>78300</v>
      </c>
      <c r="R20" s="11">
        <v>117399.99999999999</v>
      </c>
      <c r="S20" s="54">
        <f t="shared" si="2"/>
        <v>-39099.999999999985</v>
      </c>
    </row>
    <row r="21" spans="1:19" s="1" customFormat="1" ht="35.25" customHeight="1">
      <c r="A21" s="49" t="s">
        <v>58</v>
      </c>
      <c r="B21" s="52">
        <v>10</v>
      </c>
      <c r="C21" s="8">
        <f t="shared" si="0"/>
        <v>5600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11">
        <f>ROUNDUP(B21*C21*$E$9*$F$9*$G$9*$H$9*$I$9*$M$9*$J$9*$K$9*$L$9*$D$9*$N$9*$O$9*$P$9/1000,1)*1000</f>
        <v>97899.999999999985</v>
      </c>
      <c r="R21" s="11">
        <v>88100</v>
      </c>
      <c r="S21" s="54">
        <f t="shared" si="2"/>
        <v>9799.9999999999854</v>
      </c>
    </row>
    <row r="22" spans="1:19" s="1" customFormat="1" ht="20.25" customHeight="1">
      <c r="A22" s="10" t="s">
        <v>49</v>
      </c>
      <c r="B22" s="52">
        <v>5</v>
      </c>
      <c r="C22" s="8">
        <f t="shared" ref="C22:C28" si="4">4000*1.4</f>
        <v>5600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11">
        <f>ROUNDUP(B22*C22*$E$9*$F$9*$G$9*$H$9*$I$9*$M$9*$J$9*$K$9*$L$9*$D$9*$N$9*$O$9*$P$9/1000,1)*1000</f>
        <v>49000</v>
      </c>
      <c r="R22" s="11">
        <v>78300</v>
      </c>
      <c r="S22" s="54">
        <f t="shared" si="2"/>
        <v>-29300</v>
      </c>
    </row>
    <row r="23" spans="1:19" s="1" customFormat="1" ht="32.25" customHeight="1">
      <c r="A23" s="50" t="s">
        <v>59</v>
      </c>
      <c r="B23" s="52">
        <v>4</v>
      </c>
      <c r="C23" s="8">
        <f t="shared" si="0"/>
        <v>5600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11">
        <f>ROUNDUP(B23*C23*$E$9*$F$9*$G$9*$H$9*$I$9*$M$9*$J$9*$K$9*$L$9*$D$9*$N$9*$O$9*$P$9/1000,1)*1000</f>
        <v>39200</v>
      </c>
      <c r="R23" s="11">
        <v>29400.000000000004</v>
      </c>
      <c r="S23" s="54">
        <f t="shared" si="2"/>
        <v>9799.9999999999964</v>
      </c>
    </row>
    <row r="24" spans="1:19" ht="26.25" customHeight="1">
      <c r="A24" s="9" t="s">
        <v>12</v>
      </c>
      <c r="B24" s="35">
        <f>SUM(B25:B28)</f>
        <v>49</v>
      </c>
      <c r="C24" s="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3">
        <f>SUM(Q25:Q28)</f>
        <v>479500</v>
      </c>
      <c r="R24" s="3">
        <v>479500</v>
      </c>
      <c r="S24" s="3">
        <f>SUM(S25:S28)</f>
        <v>0</v>
      </c>
    </row>
    <row r="25" spans="1:19" s="1" customFormat="1" ht="20.25" customHeight="1">
      <c r="A25" s="49" t="s">
        <v>65</v>
      </c>
      <c r="B25" s="53">
        <v>21</v>
      </c>
      <c r="C25" s="8">
        <f t="shared" si="4"/>
        <v>5600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11">
        <f>ROUNDUP(B25*C25*$E$9*$F$9*$G$9*$H$9*$I$9*$M$9*$J$9*$K$9*$L$9*$D$9*$N$9*$O$9*$P$9/1000,1)*1000</f>
        <v>205500</v>
      </c>
      <c r="R25" s="11">
        <v>205500</v>
      </c>
      <c r="S25" s="54">
        <f t="shared" si="2"/>
        <v>0</v>
      </c>
    </row>
    <row r="26" spans="1:19" s="1" customFormat="1" ht="20.25" customHeight="1">
      <c r="A26" s="49" t="s">
        <v>66</v>
      </c>
      <c r="B26" s="52">
        <v>14</v>
      </c>
      <c r="C26" s="8">
        <f t="shared" si="4"/>
        <v>5600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11">
        <f t="shared" ref="Q26:Q28" si="5">ROUNDUP(B26*C26*$E$9*$F$9*$G$9*$H$9*$I$9*$M$9*$J$9*$K$9*$L$9*$D$9*$N$9*$O$9*$P$9/1000,1)*1000</f>
        <v>137000</v>
      </c>
      <c r="R26" s="11">
        <v>137000</v>
      </c>
      <c r="S26" s="54">
        <f t="shared" si="2"/>
        <v>0</v>
      </c>
    </row>
    <row r="27" spans="1:19" s="1" customFormat="1" ht="20.25" customHeight="1">
      <c r="A27" s="49" t="s">
        <v>67</v>
      </c>
      <c r="B27" s="52">
        <v>11</v>
      </c>
      <c r="C27" s="8">
        <f t="shared" si="4"/>
        <v>5600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11">
        <f t="shared" si="5"/>
        <v>107600</v>
      </c>
      <c r="R27" s="11">
        <v>107600</v>
      </c>
      <c r="S27" s="54">
        <f t="shared" si="2"/>
        <v>0</v>
      </c>
    </row>
    <row r="28" spans="1:19" s="1" customFormat="1" ht="20.25" customHeight="1">
      <c r="A28" s="49" t="s">
        <v>68</v>
      </c>
      <c r="B28" s="52">
        <v>3</v>
      </c>
      <c r="C28" s="8">
        <f t="shared" si="4"/>
        <v>5600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11">
        <f t="shared" si="5"/>
        <v>29400.000000000004</v>
      </c>
      <c r="R28" s="11">
        <v>29400.000000000004</v>
      </c>
      <c r="S28" s="54">
        <f t="shared" si="2"/>
        <v>0</v>
      </c>
    </row>
    <row r="29" spans="1:19" ht="29.25" customHeight="1">
      <c r="A29" s="9" t="s">
        <v>21</v>
      </c>
      <c r="B29" s="35">
        <f>B9+B24+B16</f>
        <v>296</v>
      </c>
      <c r="C29" s="2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3">
        <f>Q24+Q9+Q16</f>
        <v>2899000</v>
      </c>
      <c r="R29" s="3">
        <v>2859700</v>
      </c>
      <c r="S29" s="3">
        <f>S24+S9+S16</f>
        <v>39299.999999999913</v>
      </c>
    </row>
    <row r="30" spans="1:19">
      <c r="Q30" s="29"/>
    </row>
    <row r="31" spans="1:19" s="32" customFormat="1" ht="49.5" customHeight="1">
      <c r="A31" s="31" t="s">
        <v>72</v>
      </c>
      <c r="E31" s="31"/>
      <c r="G31" s="31" t="s">
        <v>51</v>
      </c>
      <c r="N31" s="33"/>
      <c r="O31" s="34"/>
    </row>
  </sheetData>
  <autoFilter ref="A8:O29"/>
  <mergeCells count="25">
    <mergeCell ref="R5:R7"/>
    <mergeCell ref="S5:S7"/>
    <mergeCell ref="D9:D29"/>
    <mergeCell ref="E9:E29"/>
    <mergeCell ref="A2:M2"/>
    <mergeCell ref="A4:M4"/>
    <mergeCell ref="A5:A6"/>
    <mergeCell ref="B5:B6"/>
    <mergeCell ref="C5:C6"/>
    <mergeCell ref="E5:E6"/>
    <mergeCell ref="D5:D6"/>
    <mergeCell ref="A3:Q3"/>
    <mergeCell ref="Q5:Q7"/>
    <mergeCell ref="F5:P5"/>
    <mergeCell ref="F9:F29"/>
    <mergeCell ref="G9:G29"/>
    <mergeCell ref="H9:H29"/>
    <mergeCell ref="I9:I29"/>
    <mergeCell ref="O9:O29"/>
    <mergeCell ref="P9:P29"/>
    <mergeCell ref="J9:J29"/>
    <mergeCell ref="K9:K29"/>
    <mergeCell ref="L9:L29"/>
    <mergeCell ref="M9:M29"/>
    <mergeCell ref="N9:N29"/>
  </mergeCells>
  <pageMargins left="0.25" right="0.25" top="0.52" bottom="0.42" header="0.3" footer="0.3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8"/>
  <sheetViews>
    <sheetView tabSelected="1" topLeftCell="A4" workbookViewId="0">
      <selection activeCell="A29" sqref="A29:XFD29"/>
    </sheetView>
  </sheetViews>
  <sheetFormatPr defaultRowHeight="14.4"/>
  <cols>
    <col min="1" max="1" width="41.88671875" customWidth="1"/>
    <col min="2" max="2" width="24.6640625" customWidth="1"/>
    <col min="3" max="4" width="18.88671875" customWidth="1"/>
    <col min="5" max="5" width="25.5546875" customWidth="1"/>
    <col min="6" max="6" width="60.33203125" customWidth="1"/>
    <col min="7" max="8" width="19.109375" customWidth="1"/>
    <col min="9" max="9" width="17.6640625" customWidth="1"/>
    <col min="10" max="10" width="9.6640625" customWidth="1"/>
  </cols>
  <sheetData>
    <row r="2" spans="1:10" ht="34.5" customHeight="1">
      <c r="A2" s="64"/>
      <c r="B2" s="64"/>
      <c r="C2" s="64"/>
      <c r="D2" s="64"/>
      <c r="E2" s="64"/>
      <c r="F2" s="64"/>
      <c r="G2" s="64"/>
      <c r="H2" s="55"/>
    </row>
    <row r="3" spans="1:10" ht="91.2" customHeight="1">
      <c r="A3" s="82" t="s">
        <v>70</v>
      </c>
      <c r="B3" s="82"/>
      <c r="C3" s="82"/>
      <c r="D3" s="82"/>
      <c r="E3" s="82"/>
      <c r="F3" s="82"/>
      <c r="G3" s="82"/>
      <c r="H3" s="82"/>
      <c r="I3" s="82"/>
    </row>
    <row r="4" spans="1:10" ht="28.5" customHeight="1">
      <c r="A4" s="66"/>
      <c r="B4" s="66"/>
      <c r="C4" s="66"/>
      <c r="D4" s="66"/>
      <c r="E4" s="66"/>
      <c r="F4" s="66"/>
      <c r="G4" s="66"/>
      <c r="H4" s="60"/>
      <c r="I4" t="s">
        <v>47</v>
      </c>
    </row>
    <row r="5" spans="1:10" s="4" customFormat="1" ht="225.6" customHeight="1">
      <c r="A5" s="70" t="s">
        <v>19</v>
      </c>
      <c r="B5" s="70" t="s">
        <v>81</v>
      </c>
      <c r="C5" s="70" t="s">
        <v>77</v>
      </c>
      <c r="D5" s="70" t="s">
        <v>78</v>
      </c>
      <c r="E5" s="70" t="s">
        <v>80</v>
      </c>
      <c r="F5" s="70" t="s">
        <v>79</v>
      </c>
      <c r="G5" s="83" t="s">
        <v>24</v>
      </c>
      <c r="H5" s="85"/>
      <c r="I5" s="70" t="s">
        <v>28</v>
      </c>
    </row>
    <row r="6" spans="1:10" ht="18" customHeight="1">
      <c r="A6" s="71"/>
      <c r="B6" s="71"/>
      <c r="C6" s="71"/>
      <c r="D6" s="71"/>
      <c r="E6" s="71"/>
      <c r="F6" s="71"/>
      <c r="G6" s="56" t="s">
        <v>26</v>
      </c>
      <c r="H6" s="56" t="s">
        <v>27</v>
      </c>
      <c r="I6" s="81"/>
    </row>
    <row r="7" spans="1:10" ht="21" customHeight="1">
      <c r="A7" s="57"/>
      <c r="B7" s="57"/>
      <c r="C7" s="57"/>
      <c r="D7" s="57"/>
      <c r="E7" s="57"/>
      <c r="F7" s="30">
        <v>2026</v>
      </c>
      <c r="G7" s="56" t="s">
        <v>74</v>
      </c>
      <c r="H7" s="56" t="s">
        <v>75</v>
      </c>
      <c r="I7" s="71"/>
    </row>
    <row r="8" spans="1:10" s="4" customForma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10" ht="35.25" customHeight="1">
      <c r="A9" s="9" t="s">
        <v>20</v>
      </c>
      <c r="B9" s="35">
        <f>SUM(B10:B15)</f>
        <v>180</v>
      </c>
      <c r="C9" s="2"/>
      <c r="D9" s="58"/>
      <c r="E9" s="72">
        <v>1.0149999999999999</v>
      </c>
      <c r="F9" s="86">
        <v>1.0680000000000001</v>
      </c>
      <c r="G9" s="86">
        <v>1.0740000000000001</v>
      </c>
      <c r="H9" s="86">
        <v>1.095</v>
      </c>
      <c r="I9" s="3">
        <f>SUM(I10:I15)</f>
        <v>2508000</v>
      </c>
      <c r="J9" s="21"/>
    </row>
    <row r="10" spans="1:10" s="1" customFormat="1" ht="20.25" customHeight="1">
      <c r="A10" s="43" t="s">
        <v>60</v>
      </c>
      <c r="B10" s="37">
        <v>7</v>
      </c>
      <c r="C10" s="8">
        <f>7793.48</f>
        <v>7793.48</v>
      </c>
      <c r="D10" s="8">
        <v>1.4</v>
      </c>
      <c r="E10" s="73"/>
      <c r="F10" s="87"/>
      <c r="G10" s="87"/>
      <c r="H10" s="87"/>
      <c r="I10" s="11">
        <f>ROUNDUP((B10*C10*D10*$F$9*$G$9*$H$9)*$E$9/1000,1)*1000</f>
        <v>97399.999999999985</v>
      </c>
    </row>
    <row r="11" spans="1:10" s="1" customFormat="1" ht="20.25" customHeight="1">
      <c r="A11" s="43" t="s">
        <v>63</v>
      </c>
      <c r="B11" s="37">
        <v>1</v>
      </c>
      <c r="C11" s="8">
        <v>7793.48</v>
      </c>
      <c r="D11" s="8">
        <v>1.4</v>
      </c>
      <c r="E11" s="73"/>
      <c r="F11" s="87"/>
      <c r="G11" s="87"/>
      <c r="H11" s="87"/>
      <c r="I11" s="11">
        <f t="shared" ref="I11:I15" si="0">ROUNDUP((B11*C11*D11*$F$9*$G$9*$H$9)*$E$9/1000,1)*1000</f>
        <v>14000</v>
      </c>
    </row>
    <row r="12" spans="1:10" s="1" customFormat="1" ht="20.25" customHeight="1">
      <c r="A12" s="43" t="s">
        <v>61</v>
      </c>
      <c r="B12" s="37">
        <v>1</v>
      </c>
      <c r="C12" s="8">
        <v>7793.48</v>
      </c>
      <c r="D12" s="8">
        <v>1.4</v>
      </c>
      <c r="E12" s="73"/>
      <c r="F12" s="87"/>
      <c r="G12" s="87"/>
      <c r="H12" s="87"/>
      <c r="I12" s="11">
        <f t="shared" si="0"/>
        <v>14000</v>
      </c>
    </row>
    <row r="13" spans="1:10" s="1" customFormat="1" ht="20.25" customHeight="1">
      <c r="A13" s="43" t="s">
        <v>57</v>
      </c>
      <c r="B13" s="37">
        <v>130</v>
      </c>
      <c r="C13" s="8">
        <v>7793.48</v>
      </c>
      <c r="D13" s="8">
        <v>1.4</v>
      </c>
      <c r="E13" s="73"/>
      <c r="F13" s="87"/>
      <c r="G13" s="87"/>
      <c r="H13" s="87"/>
      <c r="I13" s="11">
        <f t="shared" si="0"/>
        <v>1808300</v>
      </c>
    </row>
    <row r="14" spans="1:10" s="1" customFormat="1" ht="20.25" customHeight="1">
      <c r="A14" s="43" t="s">
        <v>69</v>
      </c>
      <c r="B14" s="37">
        <v>1</v>
      </c>
      <c r="C14" s="8">
        <v>7793.48</v>
      </c>
      <c r="D14" s="8">
        <v>1.8</v>
      </c>
      <c r="E14" s="73"/>
      <c r="F14" s="87"/>
      <c r="G14" s="87"/>
      <c r="H14" s="87"/>
      <c r="I14" s="11">
        <f t="shared" si="0"/>
        <v>17900.000000000004</v>
      </c>
    </row>
    <row r="15" spans="1:10" s="1" customFormat="1" ht="20.25" customHeight="1">
      <c r="A15" s="43" t="s">
        <v>62</v>
      </c>
      <c r="B15" s="37">
        <v>40</v>
      </c>
      <c r="C15" s="8">
        <v>7793.48</v>
      </c>
      <c r="D15" s="8">
        <v>1.4</v>
      </c>
      <c r="E15" s="73"/>
      <c r="F15" s="87"/>
      <c r="G15" s="87"/>
      <c r="H15" s="87"/>
      <c r="I15" s="11">
        <f t="shared" si="0"/>
        <v>556400</v>
      </c>
    </row>
    <row r="16" spans="1:10" s="1" customFormat="1" ht="23.25" customHeight="1">
      <c r="A16" s="39" t="s">
        <v>52</v>
      </c>
      <c r="B16" s="2">
        <f>SUM(B17:B27)</f>
        <v>88</v>
      </c>
      <c r="C16" s="8"/>
      <c r="D16" s="8"/>
      <c r="E16" s="73"/>
      <c r="F16" s="87"/>
      <c r="G16" s="87"/>
      <c r="H16" s="87"/>
      <c r="I16" s="3">
        <f>SUM(I17:I27)</f>
        <v>1224400</v>
      </c>
    </row>
    <row r="17" spans="1:9" s="1" customFormat="1" ht="33.75" customHeight="1">
      <c r="A17" s="50" t="s">
        <v>54</v>
      </c>
      <c r="B17" s="36">
        <v>18</v>
      </c>
      <c r="C17" s="8">
        <v>7793.48</v>
      </c>
      <c r="D17" s="8">
        <v>1.4</v>
      </c>
      <c r="E17" s="73"/>
      <c r="F17" s="87"/>
      <c r="G17" s="87"/>
      <c r="H17" s="87"/>
      <c r="I17" s="11">
        <f t="shared" ref="I17:I23" si="1">ROUNDUP((B17*C17*D17*$F$9*$G$9*$H$9)*$E$9/1000,1)*1000</f>
        <v>250400</v>
      </c>
    </row>
    <row r="18" spans="1:9" s="1" customFormat="1" ht="33.75" customHeight="1">
      <c r="A18" s="50" t="s">
        <v>55</v>
      </c>
      <c r="B18" s="37">
        <v>10</v>
      </c>
      <c r="C18" s="8">
        <v>7793.48</v>
      </c>
      <c r="D18" s="8">
        <v>1.4</v>
      </c>
      <c r="E18" s="73"/>
      <c r="F18" s="87"/>
      <c r="G18" s="87"/>
      <c r="H18" s="87"/>
      <c r="I18" s="11">
        <f t="shared" si="1"/>
        <v>139100</v>
      </c>
    </row>
    <row r="19" spans="1:9" s="1" customFormat="1" ht="20.25" customHeight="1">
      <c r="A19" s="44" t="s">
        <v>64</v>
      </c>
      <c r="B19" s="37">
        <v>10</v>
      </c>
      <c r="C19" s="8">
        <v>7793.48</v>
      </c>
      <c r="D19" s="8">
        <v>1.4</v>
      </c>
      <c r="E19" s="73"/>
      <c r="F19" s="87"/>
      <c r="G19" s="87"/>
      <c r="H19" s="87"/>
      <c r="I19" s="11">
        <f t="shared" si="1"/>
        <v>139100</v>
      </c>
    </row>
    <row r="20" spans="1:9" s="1" customFormat="1" ht="33.75" customHeight="1">
      <c r="A20" s="50" t="s">
        <v>56</v>
      </c>
      <c r="B20" s="37">
        <v>7</v>
      </c>
      <c r="C20" s="8">
        <v>7793.48</v>
      </c>
      <c r="D20" s="8">
        <v>1.4</v>
      </c>
      <c r="E20" s="73"/>
      <c r="F20" s="87"/>
      <c r="G20" s="87"/>
      <c r="H20" s="87"/>
      <c r="I20" s="11">
        <f t="shared" si="1"/>
        <v>97399.999999999985</v>
      </c>
    </row>
    <row r="21" spans="1:9" s="1" customFormat="1" ht="35.25" customHeight="1">
      <c r="A21" s="49" t="s">
        <v>58</v>
      </c>
      <c r="B21" s="37">
        <v>9</v>
      </c>
      <c r="C21" s="8">
        <v>7793.48</v>
      </c>
      <c r="D21" s="8">
        <v>1.4</v>
      </c>
      <c r="E21" s="73"/>
      <c r="F21" s="87"/>
      <c r="G21" s="87"/>
      <c r="H21" s="87"/>
      <c r="I21" s="11">
        <f t="shared" si="1"/>
        <v>125199.99999999999</v>
      </c>
    </row>
    <row r="22" spans="1:9" s="1" customFormat="1" ht="20.25" customHeight="1">
      <c r="A22" s="10" t="s">
        <v>49</v>
      </c>
      <c r="B22" s="37">
        <v>5</v>
      </c>
      <c r="C22" s="8">
        <v>7793.48</v>
      </c>
      <c r="D22" s="8">
        <v>1.4</v>
      </c>
      <c r="E22" s="73"/>
      <c r="F22" s="87"/>
      <c r="G22" s="87"/>
      <c r="H22" s="87"/>
      <c r="I22" s="11">
        <f t="shared" si="1"/>
        <v>69600</v>
      </c>
    </row>
    <row r="23" spans="1:9" s="1" customFormat="1" ht="32.25" customHeight="1">
      <c r="A23" s="50" t="s">
        <v>59</v>
      </c>
      <c r="B23" s="37">
        <v>3</v>
      </c>
      <c r="C23" s="8">
        <v>7793.48</v>
      </c>
      <c r="D23" s="8">
        <v>1.4</v>
      </c>
      <c r="E23" s="73"/>
      <c r="F23" s="87"/>
      <c r="G23" s="87"/>
      <c r="H23" s="87"/>
      <c r="I23" s="11">
        <f t="shared" si="1"/>
        <v>41800.000000000007</v>
      </c>
    </row>
    <row r="24" spans="1:9" s="1" customFormat="1" ht="20.25" customHeight="1">
      <c r="A24" s="49" t="s">
        <v>65</v>
      </c>
      <c r="B24" s="36">
        <v>6</v>
      </c>
      <c r="C24" s="8">
        <v>7793.48</v>
      </c>
      <c r="D24" s="8">
        <v>1.4</v>
      </c>
      <c r="E24" s="73"/>
      <c r="F24" s="87"/>
      <c r="G24" s="87"/>
      <c r="H24" s="87"/>
      <c r="I24" s="11">
        <f t="shared" ref="I24:I27" si="2">ROUNDUP((B24*C24*D24*$F$9*$G$9*$H$9)*$E$9/1000,1)*1000</f>
        <v>83500</v>
      </c>
    </row>
    <row r="25" spans="1:9" s="1" customFormat="1" ht="20.25" customHeight="1">
      <c r="A25" s="49" t="s">
        <v>66</v>
      </c>
      <c r="B25" s="37">
        <v>7</v>
      </c>
      <c r="C25" s="8">
        <v>7793.48</v>
      </c>
      <c r="D25" s="8">
        <v>1.4</v>
      </c>
      <c r="E25" s="73"/>
      <c r="F25" s="87"/>
      <c r="G25" s="87"/>
      <c r="H25" s="87"/>
      <c r="I25" s="11">
        <f t="shared" si="2"/>
        <v>97399.999999999985</v>
      </c>
    </row>
    <row r="26" spans="1:9" s="1" customFormat="1" ht="20.25" customHeight="1">
      <c r="A26" s="49" t="s">
        <v>67</v>
      </c>
      <c r="B26" s="37">
        <v>10</v>
      </c>
      <c r="C26" s="8">
        <v>7793.48</v>
      </c>
      <c r="D26" s="8">
        <v>1.4</v>
      </c>
      <c r="E26" s="73"/>
      <c r="F26" s="87"/>
      <c r="G26" s="87"/>
      <c r="H26" s="87"/>
      <c r="I26" s="11">
        <f t="shared" si="2"/>
        <v>139100</v>
      </c>
    </row>
    <row r="27" spans="1:9" s="1" customFormat="1" ht="20.25" customHeight="1">
      <c r="A27" s="49" t="s">
        <v>68</v>
      </c>
      <c r="B27" s="37">
        <v>3</v>
      </c>
      <c r="C27" s="8">
        <v>7793.48</v>
      </c>
      <c r="D27" s="8">
        <v>1.4</v>
      </c>
      <c r="E27" s="73"/>
      <c r="F27" s="87"/>
      <c r="G27" s="87"/>
      <c r="H27" s="87"/>
      <c r="I27" s="11">
        <f t="shared" si="2"/>
        <v>41800.000000000007</v>
      </c>
    </row>
    <row r="28" spans="1:9" ht="29.25" customHeight="1">
      <c r="A28" s="9" t="s">
        <v>21</v>
      </c>
      <c r="B28" s="35">
        <f>B9+B16</f>
        <v>268</v>
      </c>
      <c r="C28" s="2"/>
      <c r="D28" s="59"/>
      <c r="E28" s="74"/>
      <c r="F28" s="88"/>
      <c r="G28" s="88"/>
      <c r="H28" s="88"/>
      <c r="I28" s="3">
        <f>I9+I16</f>
        <v>3732400</v>
      </c>
    </row>
  </sheetData>
  <mergeCells count="15">
    <mergeCell ref="E9:E28"/>
    <mergeCell ref="F9:F28"/>
    <mergeCell ref="G9:G28"/>
    <mergeCell ref="H9:H28"/>
    <mergeCell ref="A2:G2"/>
    <mergeCell ref="A3:I3"/>
    <mergeCell ref="A4:G4"/>
    <mergeCell ref="A5:A6"/>
    <mergeCell ref="B5:B6"/>
    <mergeCell ref="C5:C6"/>
    <mergeCell ref="D5:D6"/>
    <mergeCell ref="E5:E6"/>
    <mergeCell ref="F5:F6"/>
    <mergeCell ref="I5:I7"/>
    <mergeCell ref="G5:H5"/>
  </mergeCells>
  <pageMargins left="3.937007874015748E-2" right="3.937007874015748E-2" top="0.15748031496062992" bottom="0.11811023622047245" header="0.19685039370078741" footer="0.15748031496062992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8"/>
  <sheetViews>
    <sheetView zoomScale="90" zoomScaleNormal="90" workbookViewId="0">
      <selection activeCell="C28" sqref="C28"/>
    </sheetView>
  </sheetViews>
  <sheetFormatPr defaultRowHeight="14.4"/>
  <cols>
    <col min="1" max="1" width="41.88671875" customWidth="1"/>
    <col min="2" max="2" width="32.109375" customWidth="1"/>
    <col min="3" max="4" width="18.88671875" customWidth="1"/>
    <col min="5" max="5" width="25.5546875" customWidth="1"/>
    <col min="6" max="6" width="57.6640625" customWidth="1"/>
    <col min="7" max="9" width="19.109375" customWidth="1"/>
    <col min="10" max="10" width="17.6640625" customWidth="1"/>
    <col min="11" max="11" width="9.6640625" customWidth="1"/>
  </cols>
  <sheetData>
    <row r="2" spans="1:11" ht="34.5" customHeight="1">
      <c r="A2" s="64"/>
      <c r="B2" s="64"/>
      <c r="C2" s="64"/>
      <c r="D2" s="64"/>
      <c r="E2" s="64"/>
      <c r="F2" s="64"/>
      <c r="G2" s="64"/>
      <c r="H2" s="55"/>
      <c r="I2" s="55"/>
    </row>
    <row r="3" spans="1:11" ht="91.2" customHeight="1">
      <c r="A3" s="82" t="s">
        <v>73</v>
      </c>
      <c r="B3" s="82"/>
      <c r="C3" s="82"/>
      <c r="D3" s="82"/>
      <c r="E3" s="82"/>
      <c r="F3" s="82"/>
      <c r="G3" s="82"/>
      <c r="H3" s="82"/>
      <c r="I3" s="82"/>
      <c r="J3" s="82"/>
    </row>
    <row r="4" spans="1:11" ht="28.5" customHeight="1">
      <c r="A4" s="66"/>
      <c r="B4" s="66"/>
      <c r="C4" s="66"/>
      <c r="D4" s="66"/>
      <c r="E4" s="66"/>
      <c r="F4" s="66"/>
      <c r="G4" s="66"/>
      <c r="H4" s="60"/>
      <c r="I4" s="60"/>
      <c r="J4" t="s">
        <v>47</v>
      </c>
    </row>
    <row r="5" spans="1:11" s="4" customFormat="1" ht="212.4" customHeight="1">
      <c r="A5" s="70" t="s">
        <v>19</v>
      </c>
      <c r="B5" s="70" t="s">
        <v>81</v>
      </c>
      <c r="C5" s="70" t="s">
        <v>77</v>
      </c>
      <c r="D5" s="70" t="s">
        <v>78</v>
      </c>
      <c r="E5" s="70" t="s">
        <v>80</v>
      </c>
      <c r="F5" s="70" t="s">
        <v>82</v>
      </c>
      <c r="G5" s="83" t="s">
        <v>24</v>
      </c>
      <c r="H5" s="84"/>
      <c r="I5" s="85"/>
      <c r="J5" s="70" t="s">
        <v>28</v>
      </c>
    </row>
    <row r="6" spans="1:11" ht="21" customHeight="1">
      <c r="A6" s="71"/>
      <c r="B6" s="71"/>
      <c r="C6" s="71"/>
      <c r="D6" s="71"/>
      <c r="E6" s="71"/>
      <c r="F6" s="71"/>
      <c r="G6" s="56" t="s">
        <v>26</v>
      </c>
      <c r="H6" s="56" t="s">
        <v>27</v>
      </c>
      <c r="I6" s="56" t="s">
        <v>29</v>
      </c>
      <c r="J6" s="81"/>
    </row>
    <row r="7" spans="1:11" ht="21" customHeight="1">
      <c r="A7" s="57"/>
      <c r="B7" s="57"/>
      <c r="C7" s="57"/>
      <c r="D7" s="57"/>
      <c r="E7" s="57"/>
      <c r="F7" s="30">
        <v>2027</v>
      </c>
      <c r="G7" s="56" t="s">
        <v>74</v>
      </c>
      <c r="H7" s="56" t="s">
        <v>75</v>
      </c>
      <c r="I7" s="56" t="s">
        <v>76</v>
      </c>
      <c r="J7" s="71"/>
    </row>
    <row r="8" spans="1:11" s="4" customForma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</row>
    <row r="9" spans="1:11" ht="35.25" customHeight="1">
      <c r="A9" s="9" t="s">
        <v>20</v>
      </c>
      <c r="B9" s="35">
        <f>SUM(B10:B15)</f>
        <v>180</v>
      </c>
      <c r="C9" s="2"/>
      <c r="D9" s="58"/>
      <c r="E9" s="72">
        <v>1.0149999999999999</v>
      </c>
      <c r="F9" s="86">
        <v>1.04</v>
      </c>
      <c r="G9" s="86">
        <v>1.0740000000000001</v>
      </c>
      <c r="H9" s="86">
        <v>1.095</v>
      </c>
      <c r="I9" s="86">
        <v>1.0680000000000001</v>
      </c>
      <c r="J9" s="3">
        <f>SUM(J10:J15)</f>
        <v>2608200</v>
      </c>
      <c r="K9" s="21"/>
    </row>
    <row r="10" spans="1:11" s="1" customFormat="1" ht="20.25" customHeight="1">
      <c r="A10" s="43" t="s">
        <v>60</v>
      </c>
      <c r="B10" s="37">
        <v>7</v>
      </c>
      <c r="C10" s="8">
        <f>7793.48</f>
        <v>7793.48</v>
      </c>
      <c r="D10" s="8">
        <v>1.4</v>
      </c>
      <c r="E10" s="73"/>
      <c r="F10" s="87"/>
      <c r="G10" s="87"/>
      <c r="H10" s="87"/>
      <c r="I10" s="87"/>
      <c r="J10" s="11">
        <f>ROUNDUP((B10*C10*D10*$F$9*$G$9*$H$9*$I$9)*$E$9/1000,1)*1000</f>
        <v>101300</v>
      </c>
    </row>
    <row r="11" spans="1:11" s="1" customFormat="1" ht="20.25" customHeight="1">
      <c r="A11" s="43" t="s">
        <v>63</v>
      </c>
      <c r="B11" s="37">
        <v>1</v>
      </c>
      <c r="C11" s="8">
        <v>7793.48</v>
      </c>
      <c r="D11" s="8">
        <v>1.4</v>
      </c>
      <c r="E11" s="73"/>
      <c r="F11" s="87"/>
      <c r="G11" s="87"/>
      <c r="H11" s="87"/>
      <c r="I11" s="87"/>
      <c r="J11" s="11">
        <f t="shared" ref="J11:J15" si="0">ROUNDUP((B11*C11*D11*$F$9*$G$9*$H$9*$I$9)*$E$9/1000,1)*1000</f>
        <v>14500</v>
      </c>
    </row>
    <row r="12" spans="1:11" s="1" customFormat="1" ht="20.25" customHeight="1">
      <c r="A12" s="43" t="s">
        <v>61</v>
      </c>
      <c r="B12" s="37">
        <v>1</v>
      </c>
      <c r="C12" s="8">
        <v>7793.48</v>
      </c>
      <c r="D12" s="8">
        <v>1.4</v>
      </c>
      <c r="E12" s="73"/>
      <c r="F12" s="87"/>
      <c r="G12" s="87"/>
      <c r="H12" s="87"/>
      <c r="I12" s="87"/>
      <c r="J12" s="11">
        <f t="shared" si="0"/>
        <v>14500</v>
      </c>
    </row>
    <row r="13" spans="1:11" s="1" customFormat="1" ht="20.25" customHeight="1">
      <c r="A13" s="43" t="s">
        <v>57</v>
      </c>
      <c r="B13" s="37">
        <v>130</v>
      </c>
      <c r="C13" s="8">
        <v>7793.48</v>
      </c>
      <c r="D13" s="8">
        <v>1.4</v>
      </c>
      <c r="E13" s="73"/>
      <c r="F13" s="87"/>
      <c r="G13" s="87"/>
      <c r="H13" s="87"/>
      <c r="I13" s="87"/>
      <c r="J13" s="11">
        <f t="shared" si="0"/>
        <v>1880600</v>
      </c>
    </row>
    <row r="14" spans="1:11" s="1" customFormat="1" ht="20.25" customHeight="1">
      <c r="A14" s="43" t="s">
        <v>69</v>
      </c>
      <c r="B14" s="37">
        <v>1</v>
      </c>
      <c r="C14" s="8">
        <v>7793.48</v>
      </c>
      <c r="D14" s="8">
        <v>1.8</v>
      </c>
      <c r="E14" s="73"/>
      <c r="F14" s="87"/>
      <c r="G14" s="87"/>
      <c r="H14" s="87"/>
      <c r="I14" s="87"/>
      <c r="J14" s="11">
        <f t="shared" si="0"/>
        <v>18600</v>
      </c>
    </row>
    <row r="15" spans="1:11" s="1" customFormat="1" ht="20.25" customHeight="1">
      <c r="A15" s="43" t="s">
        <v>62</v>
      </c>
      <c r="B15" s="37">
        <v>40</v>
      </c>
      <c r="C15" s="8">
        <v>7793.48</v>
      </c>
      <c r="D15" s="8">
        <v>1.4</v>
      </c>
      <c r="E15" s="73"/>
      <c r="F15" s="87"/>
      <c r="G15" s="87"/>
      <c r="H15" s="87"/>
      <c r="I15" s="87"/>
      <c r="J15" s="11">
        <f t="shared" si="0"/>
        <v>578700</v>
      </c>
    </row>
    <row r="16" spans="1:11" s="1" customFormat="1" ht="23.25" customHeight="1">
      <c r="A16" s="39" t="s">
        <v>52</v>
      </c>
      <c r="B16" s="2">
        <f>SUM(B17:B27)</f>
        <v>91</v>
      </c>
      <c r="C16" s="8"/>
      <c r="D16" s="8"/>
      <c r="E16" s="73"/>
      <c r="F16" s="87"/>
      <c r="G16" s="87"/>
      <c r="H16" s="87"/>
      <c r="I16" s="87"/>
      <c r="J16" s="3">
        <f>SUM(J17:J27)</f>
        <v>1316800</v>
      </c>
    </row>
    <row r="17" spans="1:10" s="1" customFormat="1" ht="33.75" customHeight="1">
      <c r="A17" s="50" t="s">
        <v>54</v>
      </c>
      <c r="B17" s="36">
        <v>20</v>
      </c>
      <c r="C17" s="8">
        <v>7793.48</v>
      </c>
      <c r="D17" s="8">
        <v>1.4</v>
      </c>
      <c r="E17" s="73"/>
      <c r="F17" s="87"/>
      <c r="G17" s="87"/>
      <c r="H17" s="87"/>
      <c r="I17" s="87"/>
      <c r="J17" s="11">
        <f t="shared" ref="J17:J23" si="1">ROUNDUP((B17*C17*D17*$F$9*$G$9*$H$9*$I$9)*$E$9/1000,1)*1000</f>
        <v>289400.00000000006</v>
      </c>
    </row>
    <row r="18" spans="1:10" s="1" customFormat="1" ht="33.75" customHeight="1">
      <c r="A18" s="50" t="s">
        <v>55</v>
      </c>
      <c r="B18" s="37">
        <v>10</v>
      </c>
      <c r="C18" s="8">
        <v>7793.48</v>
      </c>
      <c r="D18" s="8">
        <v>1.4</v>
      </c>
      <c r="E18" s="73"/>
      <c r="F18" s="87"/>
      <c r="G18" s="87"/>
      <c r="H18" s="87"/>
      <c r="I18" s="87"/>
      <c r="J18" s="11">
        <f t="shared" si="1"/>
        <v>144700</v>
      </c>
    </row>
    <row r="19" spans="1:10" s="1" customFormat="1" ht="20.25" customHeight="1">
      <c r="A19" s="44" t="s">
        <v>64</v>
      </c>
      <c r="B19" s="37">
        <v>10</v>
      </c>
      <c r="C19" s="8">
        <v>7793.48</v>
      </c>
      <c r="D19" s="8">
        <v>1.4</v>
      </c>
      <c r="E19" s="73"/>
      <c r="F19" s="87"/>
      <c r="G19" s="87"/>
      <c r="H19" s="87"/>
      <c r="I19" s="87"/>
      <c r="J19" s="11">
        <f t="shared" si="1"/>
        <v>144700</v>
      </c>
    </row>
    <row r="20" spans="1:10" s="1" customFormat="1" ht="33.75" customHeight="1">
      <c r="A20" s="50" t="s">
        <v>56</v>
      </c>
      <c r="B20" s="37">
        <v>7</v>
      </c>
      <c r="C20" s="8">
        <v>7793.48</v>
      </c>
      <c r="D20" s="8">
        <v>1.4</v>
      </c>
      <c r="E20" s="73"/>
      <c r="F20" s="87"/>
      <c r="G20" s="87"/>
      <c r="H20" s="87"/>
      <c r="I20" s="87"/>
      <c r="J20" s="11">
        <f t="shared" si="1"/>
        <v>101300</v>
      </c>
    </row>
    <row r="21" spans="1:10" s="1" customFormat="1" ht="35.25" customHeight="1">
      <c r="A21" s="49" t="s">
        <v>58</v>
      </c>
      <c r="B21" s="37">
        <v>9</v>
      </c>
      <c r="C21" s="8">
        <v>7793.48</v>
      </c>
      <c r="D21" s="8">
        <v>1.4</v>
      </c>
      <c r="E21" s="73"/>
      <c r="F21" s="87"/>
      <c r="G21" s="87"/>
      <c r="H21" s="87"/>
      <c r="I21" s="87"/>
      <c r="J21" s="11">
        <f t="shared" si="1"/>
        <v>130199.99999999999</v>
      </c>
    </row>
    <row r="22" spans="1:10" s="1" customFormat="1" ht="20.25" customHeight="1">
      <c r="A22" s="10" t="s">
        <v>49</v>
      </c>
      <c r="B22" s="37">
        <v>5</v>
      </c>
      <c r="C22" s="8">
        <v>7793.48</v>
      </c>
      <c r="D22" s="8">
        <v>1.4</v>
      </c>
      <c r="E22" s="73"/>
      <c r="F22" s="87"/>
      <c r="G22" s="87"/>
      <c r="H22" s="87"/>
      <c r="I22" s="87"/>
      <c r="J22" s="11">
        <f t="shared" si="1"/>
        <v>72399.999999999985</v>
      </c>
    </row>
    <row r="23" spans="1:10" s="1" customFormat="1" ht="32.25" customHeight="1">
      <c r="A23" s="50" t="s">
        <v>59</v>
      </c>
      <c r="B23" s="37">
        <v>3</v>
      </c>
      <c r="C23" s="8">
        <v>7793.48</v>
      </c>
      <c r="D23" s="8">
        <v>1.4</v>
      </c>
      <c r="E23" s="73"/>
      <c r="F23" s="87"/>
      <c r="G23" s="87"/>
      <c r="H23" s="87"/>
      <c r="I23" s="87"/>
      <c r="J23" s="11">
        <f t="shared" si="1"/>
        <v>43400</v>
      </c>
    </row>
    <row r="24" spans="1:10" s="1" customFormat="1" ht="20.25" customHeight="1">
      <c r="A24" s="49" t="s">
        <v>65</v>
      </c>
      <c r="B24" s="36">
        <v>0</v>
      </c>
      <c r="C24" s="8">
        <v>7793.48</v>
      </c>
      <c r="D24" s="8">
        <v>1.4</v>
      </c>
      <c r="E24" s="73"/>
      <c r="F24" s="87"/>
      <c r="G24" s="87"/>
      <c r="H24" s="87"/>
      <c r="I24" s="87"/>
      <c r="J24" s="11">
        <f t="shared" ref="J24:J27" si="2">ROUNDUP((B24*C24*D24*$F$9*$G$9*$H$9*$I$9)*$E$9/1000,1)*1000</f>
        <v>0</v>
      </c>
    </row>
    <row r="25" spans="1:10" s="1" customFormat="1" ht="20.25" customHeight="1">
      <c r="A25" s="49" t="s">
        <v>66</v>
      </c>
      <c r="B25" s="37">
        <v>14</v>
      </c>
      <c r="C25" s="8">
        <v>7793.48</v>
      </c>
      <c r="D25" s="8">
        <v>1.4</v>
      </c>
      <c r="E25" s="73"/>
      <c r="F25" s="87"/>
      <c r="G25" s="87"/>
      <c r="H25" s="87"/>
      <c r="I25" s="87"/>
      <c r="J25" s="11">
        <f t="shared" si="2"/>
        <v>202600</v>
      </c>
    </row>
    <row r="26" spans="1:10" s="1" customFormat="1" ht="20.25" customHeight="1">
      <c r="A26" s="49" t="s">
        <v>67</v>
      </c>
      <c r="B26" s="37">
        <v>10</v>
      </c>
      <c r="C26" s="8">
        <v>7793.48</v>
      </c>
      <c r="D26" s="8">
        <v>1.4</v>
      </c>
      <c r="E26" s="73"/>
      <c r="F26" s="87"/>
      <c r="G26" s="87"/>
      <c r="H26" s="87"/>
      <c r="I26" s="87"/>
      <c r="J26" s="11">
        <f t="shared" si="2"/>
        <v>144700</v>
      </c>
    </row>
    <row r="27" spans="1:10" s="1" customFormat="1" ht="20.25" customHeight="1">
      <c r="A27" s="49" t="s">
        <v>68</v>
      </c>
      <c r="B27" s="37">
        <v>3</v>
      </c>
      <c r="C27" s="8">
        <v>7793.48</v>
      </c>
      <c r="D27" s="8">
        <v>1.4</v>
      </c>
      <c r="E27" s="73"/>
      <c r="F27" s="87"/>
      <c r="G27" s="87"/>
      <c r="H27" s="87"/>
      <c r="I27" s="87"/>
      <c r="J27" s="11">
        <f t="shared" si="2"/>
        <v>43400</v>
      </c>
    </row>
    <row r="28" spans="1:10" ht="29.25" customHeight="1">
      <c r="A28" s="9" t="s">
        <v>21</v>
      </c>
      <c r="B28" s="35">
        <f>B9+B16</f>
        <v>271</v>
      </c>
      <c r="C28" s="2"/>
      <c r="D28" s="59"/>
      <c r="E28" s="74"/>
      <c r="F28" s="88"/>
      <c r="G28" s="88"/>
      <c r="H28" s="88"/>
      <c r="I28" s="88"/>
      <c r="J28" s="3">
        <f>J9+J16</f>
        <v>3925000</v>
      </c>
    </row>
  </sheetData>
  <mergeCells count="16">
    <mergeCell ref="I9:I28"/>
    <mergeCell ref="F5:F6"/>
    <mergeCell ref="J5:J7"/>
    <mergeCell ref="G5:I5"/>
    <mergeCell ref="E9:E28"/>
    <mergeCell ref="F9:F28"/>
    <mergeCell ref="G9:G28"/>
    <mergeCell ref="H9:H28"/>
    <mergeCell ref="A2:G2"/>
    <mergeCell ref="A3:J3"/>
    <mergeCell ref="A4:G4"/>
    <mergeCell ref="A5:A6"/>
    <mergeCell ref="B5:B6"/>
    <mergeCell ref="C5:C6"/>
    <mergeCell ref="D5:D6"/>
    <mergeCell ref="E5:E6"/>
  </mergeCells>
  <pageMargins left="7.874015748031496E-2" right="7.874015748031496E-2" top="7.874015748031496E-2" bottom="7.874015748031496E-2" header="0.15748031496062992" footer="0.15748031496062992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8"/>
  <sheetViews>
    <sheetView topLeftCell="C1" workbookViewId="0">
      <selection activeCell="F45" sqref="F45"/>
    </sheetView>
  </sheetViews>
  <sheetFormatPr defaultRowHeight="14.4"/>
  <cols>
    <col min="1" max="1" width="41.88671875" customWidth="1"/>
    <col min="2" max="2" width="32.109375" customWidth="1"/>
    <col min="3" max="4" width="18.88671875" customWidth="1"/>
    <col min="5" max="5" width="25.5546875" customWidth="1"/>
    <col min="6" max="6" width="57.6640625" customWidth="1"/>
    <col min="7" max="10" width="19.109375" customWidth="1"/>
    <col min="11" max="11" width="17.6640625" customWidth="1"/>
    <col min="12" max="12" width="9.6640625" customWidth="1"/>
  </cols>
  <sheetData>
    <row r="2" spans="1:12" ht="34.5" customHeight="1">
      <c r="A2" s="64"/>
      <c r="B2" s="64"/>
      <c r="C2" s="64"/>
      <c r="D2" s="64"/>
      <c r="E2" s="64"/>
      <c r="F2" s="64"/>
      <c r="G2" s="64"/>
      <c r="H2" s="61"/>
      <c r="I2" s="61"/>
      <c r="J2" s="61"/>
    </row>
    <row r="3" spans="1:12" ht="91.2" customHeight="1">
      <c r="A3" s="82" t="s">
        <v>84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28.5" customHeight="1">
      <c r="A4" s="66"/>
      <c r="B4" s="66"/>
      <c r="C4" s="66"/>
      <c r="D4" s="66"/>
      <c r="E4" s="66"/>
      <c r="F4" s="66"/>
      <c r="G4" s="66"/>
      <c r="H4" s="60"/>
      <c r="I4" s="60"/>
      <c r="J4" s="60"/>
      <c r="K4" t="s">
        <v>47</v>
      </c>
    </row>
    <row r="5" spans="1:12" s="4" customFormat="1" ht="212.4" customHeight="1">
      <c r="A5" s="70" t="s">
        <v>19</v>
      </c>
      <c r="B5" s="70" t="s">
        <v>81</v>
      </c>
      <c r="C5" s="70" t="s">
        <v>77</v>
      </c>
      <c r="D5" s="70" t="s">
        <v>78</v>
      </c>
      <c r="E5" s="70" t="s">
        <v>80</v>
      </c>
      <c r="F5" s="70" t="s">
        <v>82</v>
      </c>
      <c r="G5" s="83" t="s">
        <v>24</v>
      </c>
      <c r="H5" s="84"/>
      <c r="I5" s="84"/>
      <c r="J5" s="85"/>
      <c r="K5" s="70" t="s">
        <v>28</v>
      </c>
    </row>
    <row r="6" spans="1:12" ht="21" customHeight="1">
      <c r="A6" s="71"/>
      <c r="B6" s="71"/>
      <c r="C6" s="71"/>
      <c r="D6" s="71"/>
      <c r="E6" s="71"/>
      <c r="F6" s="71"/>
      <c r="G6" s="62" t="s">
        <v>26</v>
      </c>
      <c r="H6" s="62" t="s">
        <v>27</v>
      </c>
      <c r="I6" s="62" t="s">
        <v>29</v>
      </c>
      <c r="J6" s="62" t="s">
        <v>30</v>
      </c>
      <c r="K6" s="81"/>
    </row>
    <row r="7" spans="1:12" ht="21" customHeight="1">
      <c r="A7" s="63"/>
      <c r="B7" s="63"/>
      <c r="C7" s="63"/>
      <c r="D7" s="63"/>
      <c r="E7" s="63"/>
      <c r="F7" s="30">
        <v>2028</v>
      </c>
      <c r="G7" s="62" t="s">
        <v>74</v>
      </c>
      <c r="H7" s="62" t="s">
        <v>75</v>
      </c>
      <c r="I7" s="62" t="s">
        <v>76</v>
      </c>
      <c r="J7" s="62" t="s">
        <v>83</v>
      </c>
      <c r="K7" s="71"/>
    </row>
    <row r="8" spans="1:12" s="4" customForma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</row>
    <row r="9" spans="1:12" ht="35.25" customHeight="1">
      <c r="A9" s="9" t="s">
        <v>20</v>
      </c>
      <c r="B9" s="35">
        <f>SUM(B10:B15)</f>
        <v>180</v>
      </c>
      <c r="C9" s="2"/>
      <c r="D9" s="58"/>
      <c r="E9" s="72">
        <v>1.0149999999999999</v>
      </c>
      <c r="F9" s="86">
        <v>1.04</v>
      </c>
      <c r="G9" s="86">
        <v>1.0740000000000001</v>
      </c>
      <c r="H9" s="86">
        <v>1.095</v>
      </c>
      <c r="I9" s="86">
        <v>1.0680000000000001</v>
      </c>
      <c r="J9" s="86">
        <v>1.04</v>
      </c>
      <c r="K9" s="3">
        <f>SUM(K10:K15)</f>
        <v>2712700</v>
      </c>
      <c r="L9" s="21"/>
    </row>
    <row r="10" spans="1:12" s="1" customFormat="1" ht="20.25" customHeight="1">
      <c r="A10" s="43" t="s">
        <v>60</v>
      </c>
      <c r="B10" s="37">
        <v>7</v>
      </c>
      <c r="C10" s="8">
        <f>7793.48</f>
        <v>7793.48</v>
      </c>
      <c r="D10" s="8">
        <v>1.4</v>
      </c>
      <c r="E10" s="73"/>
      <c r="F10" s="87"/>
      <c r="G10" s="87"/>
      <c r="H10" s="87"/>
      <c r="I10" s="87"/>
      <c r="J10" s="87"/>
      <c r="K10" s="11">
        <f>ROUNDUP((B10*C10*D10*$F$9*$G$9*$H$9*$I$9*$J$9)*$E$9/1000,1)*1000</f>
        <v>105399.99999999999</v>
      </c>
    </row>
    <row r="11" spans="1:12" s="1" customFormat="1" ht="20.25" customHeight="1">
      <c r="A11" s="43" t="s">
        <v>63</v>
      </c>
      <c r="B11" s="37">
        <v>1</v>
      </c>
      <c r="C11" s="8">
        <v>7793.48</v>
      </c>
      <c r="D11" s="8">
        <v>1.4</v>
      </c>
      <c r="E11" s="73"/>
      <c r="F11" s="87"/>
      <c r="G11" s="87"/>
      <c r="H11" s="87"/>
      <c r="I11" s="87"/>
      <c r="J11" s="87"/>
      <c r="K11" s="11">
        <f t="shared" ref="K11:K14" si="0">ROUNDUP((B11*C11*D11*$F$9*$G$9*$H$9*$I$9*$J$9)*$E$9/1000,1)*1000</f>
        <v>15100</v>
      </c>
    </row>
    <row r="12" spans="1:12" s="1" customFormat="1" ht="20.25" customHeight="1">
      <c r="A12" s="43" t="s">
        <v>61</v>
      </c>
      <c r="B12" s="37">
        <v>1</v>
      </c>
      <c r="C12" s="8">
        <v>7793.48</v>
      </c>
      <c r="D12" s="8">
        <v>1.4</v>
      </c>
      <c r="E12" s="73"/>
      <c r="F12" s="87"/>
      <c r="G12" s="87"/>
      <c r="H12" s="87"/>
      <c r="I12" s="87"/>
      <c r="J12" s="87"/>
      <c r="K12" s="11">
        <f t="shared" si="0"/>
        <v>15100</v>
      </c>
    </row>
    <row r="13" spans="1:12" s="1" customFormat="1" ht="20.25" customHeight="1">
      <c r="A13" s="43" t="s">
        <v>57</v>
      </c>
      <c r="B13" s="37">
        <v>130</v>
      </c>
      <c r="C13" s="8">
        <v>7793.48</v>
      </c>
      <c r="D13" s="8">
        <v>1.4</v>
      </c>
      <c r="E13" s="73"/>
      <c r="F13" s="87"/>
      <c r="G13" s="87"/>
      <c r="H13" s="87"/>
      <c r="I13" s="87"/>
      <c r="J13" s="87"/>
      <c r="K13" s="11">
        <f t="shared" si="0"/>
        <v>1955899.9999999998</v>
      </c>
    </row>
    <row r="14" spans="1:12" s="1" customFormat="1" ht="20.25" customHeight="1">
      <c r="A14" s="43" t="s">
        <v>69</v>
      </c>
      <c r="B14" s="37">
        <v>1</v>
      </c>
      <c r="C14" s="8">
        <v>7793.48</v>
      </c>
      <c r="D14" s="8">
        <v>1.8</v>
      </c>
      <c r="E14" s="73"/>
      <c r="F14" s="87"/>
      <c r="G14" s="87"/>
      <c r="H14" s="87"/>
      <c r="I14" s="87"/>
      <c r="J14" s="87"/>
      <c r="K14" s="11">
        <f t="shared" si="0"/>
        <v>19400.000000000004</v>
      </c>
    </row>
    <row r="15" spans="1:12" s="1" customFormat="1" ht="20.25" customHeight="1">
      <c r="A15" s="43" t="s">
        <v>62</v>
      </c>
      <c r="B15" s="37">
        <v>40</v>
      </c>
      <c r="C15" s="8">
        <v>7793.48</v>
      </c>
      <c r="D15" s="8">
        <v>1.4</v>
      </c>
      <c r="E15" s="73"/>
      <c r="F15" s="87"/>
      <c r="G15" s="87"/>
      <c r="H15" s="87"/>
      <c r="I15" s="87"/>
      <c r="J15" s="87"/>
      <c r="K15" s="11">
        <f>ROUNDUP((B15*C15*D15*$F$9*$G$9*$H$9*$I$9*$J$9)*$E$9/1000,1)*1000</f>
        <v>601800.00000000012</v>
      </c>
    </row>
    <row r="16" spans="1:12" s="1" customFormat="1" ht="23.25" customHeight="1">
      <c r="A16" s="39" t="s">
        <v>52</v>
      </c>
      <c r="B16" s="2">
        <f>SUM(B17:B27)</f>
        <v>91</v>
      </c>
      <c r="C16" s="8"/>
      <c r="D16" s="8"/>
      <c r="E16" s="73"/>
      <c r="F16" s="87"/>
      <c r="G16" s="87"/>
      <c r="H16" s="87"/>
      <c r="I16" s="87"/>
      <c r="J16" s="87"/>
      <c r="K16" s="3">
        <f>SUM(K17:K27)</f>
        <v>1369700</v>
      </c>
    </row>
    <row r="17" spans="1:11" s="1" customFormat="1" ht="33.75" customHeight="1">
      <c r="A17" s="50" t="s">
        <v>54</v>
      </c>
      <c r="B17" s="36">
        <v>20</v>
      </c>
      <c r="C17" s="8">
        <v>7793.48</v>
      </c>
      <c r="D17" s="8">
        <v>1.4</v>
      </c>
      <c r="E17" s="73"/>
      <c r="F17" s="87"/>
      <c r="G17" s="87"/>
      <c r="H17" s="87"/>
      <c r="I17" s="87"/>
      <c r="J17" s="87"/>
      <c r="K17" s="11">
        <f t="shared" ref="K17:K27" si="1">ROUNDUP((B17*C17*D17*$F$9*$G$9*$H$9*$I$9*$J$9)*$E$9/1000,1)*1000</f>
        <v>300900.00000000006</v>
      </c>
    </row>
    <row r="18" spans="1:11" s="1" customFormat="1" ht="33.75" customHeight="1">
      <c r="A18" s="50" t="s">
        <v>55</v>
      </c>
      <c r="B18" s="37">
        <v>10</v>
      </c>
      <c r="C18" s="8">
        <v>7793.48</v>
      </c>
      <c r="D18" s="8">
        <v>1.4</v>
      </c>
      <c r="E18" s="73"/>
      <c r="F18" s="87"/>
      <c r="G18" s="87"/>
      <c r="H18" s="87"/>
      <c r="I18" s="87"/>
      <c r="J18" s="87"/>
      <c r="K18" s="11">
        <f t="shared" si="1"/>
        <v>150500</v>
      </c>
    </row>
    <row r="19" spans="1:11" s="1" customFormat="1" ht="20.25" customHeight="1">
      <c r="A19" s="44" t="s">
        <v>64</v>
      </c>
      <c r="B19" s="37">
        <v>10</v>
      </c>
      <c r="C19" s="8">
        <v>7793.48</v>
      </c>
      <c r="D19" s="8">
        <v>1.4</v>
      </c>
      <c r="E19" s="73"/>
      <c r="F19" s="87"/>
      <c r="G19" s="87"/>
      <c r="H19" s="87"/>
      <c r="I19" s="87"/>
      <c r="J19" s="87"/>
      <c r="K19" s="11">
        <f t="shared" si="1"/>
        <v>150500</v>
      </c>
    </row>
    <row r="20" spans="1:11" s="1" customFormat="1" ht="33.75" customHeight="1">
      <c r="A20" s="50" t="s">
        <v>56</v>
      </c>
      <c r="B20" s="37">
        <v>7</v>
      </c>
      <c r="C20" s="8">
        <v>7793.48</v>
      </c>
      <c r="D20" s="8">
        <v>1.4</v>
      </c>
      <c r="E20" s="73"/>
      <c r="F20" s="87"/>
      <c r="G20" s="87"/>
      <c r="H20" s="87"/>
      <c r="I20" s="87"/>
      <c r="J20" s="87"/>
      <c r="K20" s="11">
        <f t="shared" si="1"/>
        <v>105399.99999999999</v>
      </c>
    </row>
    <row r="21" spans="1:11" s="1" customFormat="1" ht="35.25" customHeight="1">
      <c r="A21" s="49" t="s">
        <v>58</v>
      </c>
      <c r="B21" s="37">
        <v>9</v>
      </c>
      <c r="C21" s="8">
        <v>7793.48</v>
      </c>
      <c r="D21" s="8">
        <v>1.4</v>
      </c>
      <c r="E21" s="73"/>
      <c r="F21" s="87"/>
      <c r="G21" s="87"/>
      <c r="H21" s="87"/>
      <c r="I21" s="87"/>
      <c r="J21" s="87"/>
      <c r="K21" s="11">
        <f t="shared" si="1"/>
        <v>135500</v>
      </c>
    </row>
    <row r="22" spans="1:11" s="1" customFormat="1" ht="20.25" customHeight="1">
      <c r="A22" s="10" t="s">
        <v>49</v>
      </c>
      <c r="B22" s="37">
        <v>5</v>
      </c>
      <c r="C22" s="8">
        <v>7793.48</v>
      </c>
      <c r="D22" s="8">
        <v>1.4</v>
      </c>
      <c r="E22" s="73"/>
      <c r="F22" s="87"/>
      <c r="G22" s="87"/>
      <c r="H22" s="87"/>
      <c r="I22" s="87"/>
      <c r="J22" s="87"/>
      <c r="K22" s="11">
        <f t="shared" si="1"/>
        <v>75300</v>
      </c>
    </row>
    <row r="23" spans="1:11" s="1" customFormat="1" ht="32.25" customHeight="1">
      <c r="A23" s="50" t="s">
        <v>59</v>
      </c>
      <c r="B23" s="37">
        <v>3</v>
      </c>
      <c r="C23" s="8">
        <v>7793.48</v>
      </c>
      <c r="D23" s="8">
        <v>1.4</v>
      </c>
      <c r="E23" s="73"/>
      <c r="F23" s="87"/>
      <c r="G23" s="87"/>
      <c r="H23" s="87"/>
      <c r="I23" s="87"/>
      <c r="J23" s="87"/>
      <c r="K23" s="11">
        <f t="shared" si="1"/>
        <v>45200</v>
      </c>
    </row>
    <row r="24" spans="1:11" s="1" customFormat="1" ht="20.25" customHeight="1">
      <c r="A24" s="49" t="s">
        <v>65</v>
      </c>
      <c r="B24" s="36">
        <v>0</v>
      </c>
      <c r="C24" s="8">
        <v>7793.48</v>
      </c>
      <c r="D24" s="8">
        <v>1.4</v>
      </c>
      <c r="E24" s="73"/>
      <c r="F24" s="87"/>
      <c r="G24" s="87"/>
      <c r="H24" s="87"/>
      <c r="I24" s="87"/>
      <c r="J24" s="87"/>
      <c r="K24" s="11">
        <f t="shared" si="1"/>
        <v>0</v>
      </c>
    </row>
    <row r="25" spans="1:11" s="1" customFormat="1" ht="20.25" customHeight="1">
      <c r="A25" s="49" t="s">
        <v>66</v>
      </c>
      <c r="B25" s="37">
        <v>14</v>
      </c>
      <c r="C25" s="8">
        <v>7793.48</v>
      </c>
      <c r="D25" s="8">
        <v>1.4</v>
      </c>
      <c r="E25" s="73"/>
      <c r="F25" s="87"/>
      <c r="G25" s="87"/>
      <c r="H25" s="87"/>
      <c r="I25" s="87"/>
      <c r="J25" s="87"/>
      <c r="K25" s="11">
        <f t="shared" si="1"/>
        <v>210700</v>
      </c>
    </row>
    <row r="26" spans="1:11" s="1" customFormat="1" ht="20.25" customHeight="1">
      <c r="A26" s="49" t="s">
        <v>67</v>
      </c>
      <c r="B26" s="37">
        <v>10</v>
      </c>
      <c r="C26" s="8">
        <v>7793.48</v>
      </c>
      <c r="D26" s="8">
        <v>1.4</v>
      </c>
      <c r="E26" s="73"/>
      <c r="F26" s="87"/>
      <c r="G26" s="87"/>
      <c r="H26" s="87"/>
      <c r="I26" s="87"/>
      <c r="J26" s="87"/>
      <c r="K26" s="11">
        <f t="shared" si="1"/>
        <v>150500</v>
      </c>
    </row>
    <row r="27" spans="1:11" s="1" customFormat="1" ht="20.25" customHeight="1">
      <c r="A27" s="49" t="s">
        <v>68</v>
      </c>
      <c r="B27" s="37">
        <v>3</v>
      </c>
      <c r="C27" s="8">
        <v>7793.48</v>
      </c>
      <c r="D27" s="8">
        <v>1.4</v>
      </c>
      <c r="E27" s="73"/>
      <c r="F27" s="87"/>
      <c r="G27" s="87"/>
      <c r="H27" s="87"/>
      <c r="I27" s="87"/>
      <c r="J27" s="87"/>
      <c r="K27" s="11">
        <f t="shared" si="1"/>
        <v>45200</v>
      </c>
    </row>
    <row r="28" spans="1:11" ht="29.25" customHeight="1">
      <c r="A28" s="9" t="s">
        <v>21</v>
      </c>
      <c r="B28" s="35">
        <f>B9+B16</f>
        <v>271</v>
      </c>
      <c r="C28" s="2"/>
      <c r="D28" s="59"/>
      <c r="E28" s="74"/>
      <c r="F28" s="88"/>
      <c r="G28" s="88"/>
      <c r="H28" s="88"/>
      <c r="I28" s="88"/>
      <c r="J28" s="88"/>
      <c r="K28" s="3">
        <f>K9+K16</f>
        <v>4082400</v>
      </c>
    </row>
  </sheetData>
  <mergeCells count="17">
    <mergeCell ref="J9:J28"/>
    <mergeCell ref="E9:E28"/>
    <mergeCell ref="F9:F28"/>
    <mergeCell ref="G9:G28"/>
    <mergeCell ref="H9:H28"/>
    <mergeCell ref="I9:I28"/>
    <mergeCell ref="A2:G2"/>
    <mergeCell ref="A3:K3"/>
    <mergeCell ref="A4:G4"/>
    <mergeCell ref="A5:A6"/>
    <mergeCell ref="B5:B6"/>
    <mergeCell ref="C5:C6"/>
    <mergeCell ref="D5:D6"/>
    <mergeCell ref="E5:E6"/>
    <mergeCell ref="F5:F6"/>
    <mergeCell ref="K5:K7"/>
    <mergeCell ref="G5:J5"/>
  </mergeCells>
  <pageMargins left="0.16" right="0.17" top="0.28000000000000003" bottom="0.22" header="0.17" footer="0.17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2018</vt:lpstr>
      <vt:lpstr>2019</vt:lpstr>
      <vt:lpstr>2022</vt:lpstr>
      <vt:lpstr>2023</vt:lpstr>
      <vt:lpstr>2024</vt:lpstr>
      <vt:lpstr>2026</vt:lpstr>
      <vt:lpstr>2027</vt:lpstr>
      <vt:lpstr>2028</vt:lpstr>
      <vt:lpstr>'2018'!Область_печати</vt:lpstr>
      <vt:lpstr>'2019'!Область_печати</vt:lpstr>
      <vt:lpstr>'2022'!Область_печати</vt:lpstr>
      <vt:lpstr>'2023'!Область_печати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Василий Киркин</dc:creator>
  <cp:lastModifiedBy>Киркин В.В.</cp:lastModifiedBy>
  <cp:lastPrinted>2025-10-15T06:44:33Z</cp:lastPrinted>
  <dcterms:created xsi:type="dcterms:W3CDTF">2018-03-30T13:22:47Z</dcterms:created>
  <dcterms:modified xsi:type="dcterms:W3CDTF">2025-10-27T10:17:00Z</dcterms:modified>
</cp:coreProperties>
</file>