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276" windowWidth="23088" windowHeight="5856" firstSheet="2" activeTab="2"/>
  </bookViews>
  <sheets>
    <sheet name="2018" sheetId="2" state="hidden" r:id="rId1"/>
    <sheet name="2019" sheetId="4" state="hidden" r:id="rId2"/>
    <sheet name="2022" sheetId="3" r:id="rId3"/>
    <sheet name="2023" sheetId="7" r:id="rId4"/>
    <sheet name="2024" sheetId="5" r:id="rId5"/>
  </sheets>
  <definedNames>
    <definedName name="_xlnm._FilterDatabase" localSheetId="1" hidden="1">'2019'!$A$6:$N$26</definedName>
    <definedName name="_xlnm._FilterDatabase" localSheetId="4" hidden="1">'2024'!$A$8:$O$28</definedName>
    <definedName name="_xlnm.Print_Area" localSheetId="0">'2018'!$A$1:$K$29</definedName>
    <definedName name="_xlnm.Print_Area" localSheetId="1">'2019'!$A$1:$N$26</definedName>
  </definedNames>
  <calcPr calcId="125725"/>
</workbook>
</file>

<file path=xl/calcChain.xml><?xml version="1.0" encoding="utf-8"?>
<calcChain xmlns="http://schemas.openxmlformats.org/spreadsheetml/2006/main">
  <c r="B22" i="5"/>
  <c r="B9"/>
  <c r="Q28" i="7"/>
  <c r="C27"/>
  <c r="C26"/>
  <c r="P26" s="1"/>
  <c r="C25"/>
  <c r="P25" s="1"/>
  <c r="C24"/>
  <c r="P24" s="1"/>
  <c r="C23"/>
  <c r="Q22"/>
  <c r="B22"/>
  <c r="C21"/>
  <c r="P21" s="1"/>
  <c r="C20"/>
  <c r="P20" s="1"/>
  <c r="C19"/>
  <c r="C18"/>
  <c r="P18" s="1"/>
  <c r="C17"/>
  <c r="P17" s="1"/>
  <c r="C16"/>
  <c r="P16" s="1"/>
  <c r="C15"/>
  <c r="C14"/>
  <c r="P14" s="1"/>
  <c r="C13"/>
  <c r="P13" s="1"/>
  <c r="C12"/>
  <c r="P12" s="1"/>
  <c r="C11"/>
  <c r="C10"/>
  <c r="R9" s="1"/>
  <c r="B9"/>
  <c r="B28" i="5" l="1"/>
  <c r="Q13" i="7"/>
  <c r="Q16"/>
  <c r="Q25"/>
  <c r="Q24"/>
  <c r="Q21"/>
  <c r="Q27"/>
  <c r="P27"/>
  <c r="Q11"/>
  <c r="P11"/>
  <c r="Q19"/>
  <c r="P19"/>
  <c r="P10"/>
  <c r="Q10"/>
  <c r="Q23"/>
  <c r="P23"/>
  <c r="P22" s="1"/>
  <c r="Q15"/>
  <c r="P15"/>
  <c r="B28"/>
  <c r="Q12"/>
  <c r="Q17"/>
  <c r="Q20"/>
  <c r="Q26"/>
  <c r="Q14"/>
  <c r="Q18"/>
  <c r="P22" i="3"/>
  <c r="P28"/>
  <c r="C27"/>
  <c r="P27" s="1"/>
  <c r="C26"/>
  <c r="O26" s="1"/>
  <c r="C25"/>
  <c r="O25" s="1"/>
  <c r="C24"/>
  <c r="O24" s="1"/>
  <c r="C23"/>
  <c r="O23" s="1"/>
  <c r="B22"/>
  <c r="C21"/>
  <c r="O21" s="1"/>
  <c r="C20"/>
  <c r="O20" s="1"/>
  <c r="C19"/>
  <c r="O19" s="1"/>
  <c r="C18"/>
  <c r="O18" s="1"/>
  <c r="C17"/>
  <c r="O17" s="1"/>
  <c r="C16"/>
  <c r="O16" s="1"/>
  <c r="C15"/>
  <c r="O15" s="1"/>
  <c r="C14"/>
  <c r="O14" s="1"/>
  <c r="C13"/>
  <c r="O13" s="1"/>
  <c r="C12"/>
  <c r="O12" s="1"/>
  <c r="C11"/>
  <c r="O11" s="1"/>
  <c r="C10"/>
  <c r="B9"/>
  <c r="M20" i="4"/>
  <c r="M7"/>
  <c r="Q9" i="3" l="1"/>
  <c r="O10"/>
  <c r="O9" s="1"/>
  <c r="O27"/>
  <c r="O22" s="1"/>
  <c r="P9" i="7"/>
  <c r="P28" s="1"/>
  <c r="P19" i="3"/>
  <c r="P23"/>
  <c r="P11"/>
  <c r="P15"/>
  <c r="P10"/>
  <c r="P24"/>
  <c r="P20"/>
  <c r="P16"/>
  <c r="P12"/>
  <c r="P25"/>
  <c r="P21"/>
  <c r="P17"/>
  <c r="P13"/>
  <c r="P26"/>
  <c r="P18"/>
  <c r="P14"/>
  <c r="B28"/>
  <c r="M26" i="4"/>
  <c r="O28" i="3" l="1"/>
  <c r="B20" i="4" l="1"/>
  <c r="B7"/>
  <c r="B26" l="1"/>
  <c r="C27" i="5" l="1"/>
  <c r="Q27" s="1"/>
  <c r="C26"/>
  <c r="Q26" s="1"/>
  <c r="C25"/>
  <c r="Q25" s="1"/>
  <c r="C24"/>
  <c r="Q24" s="1"/>
  <c r="C23"/>
  <c r="Q23" s="1"/>
  <c r="C21"/>
  <c r="Q21" s="1"/>
  <c r="C20"/>
  <c r="Q20" s="1"/>
  <c r="C19"/>
  <c r="Q19" s="1"/>
  <c r="C18"/>
  <c r="Q18" s="1"/>
  <c r="C17"/>
  <c r="Q17" s="1"/>
  <c r="C16"/>
  <c r="Q16" s="1"/>
  <c r="C15"/>
  <c r="Q15" s="1"/>
  <c r="C14"/>
  <c r="Q14" s="1"/>
  <c r="C13"/>
  <c r="Q13" s="1"/>
  <c r="C12"/>
  <c r="Q12" s="1"/>
  <c r="C11"/>
  <c r="Q11" s="1"/>
  <c r="C10"/>
  <c r="R9" l="1"/>
  <c r="Q10"/>
  <c r="Q9" s="1"/>
  <c r="Q22"/>
  <c r="C25" i="4"/>
  <c r="L25" s="1"/>
  <c r="N25" s="1"/>
  <c r="C24"/>
  <c r="L24" s="1"/>
  <c r="N24" s="1"/>
  <c r="C23"/>
  <c r="L23" s="1"/>
  <c r="N23" s="1"/>
  <c r="C22"/>
  <c r="L22" s="1"/>
  <c r="N22" s="1"/>
  <c r="C21"/>
  <c r="L21" s="1"/>
  <c r="N21" s="1"/>
  <c r="C19"/>
  <c r="L19" s="1"/>
  <c r="N19" s="1"/>
  <c r="C18"/>
  <c r="L18" s="1"/>
  <c r="N18" s="1"/>
  <c r="C17"/>
  <c r="L17" s="1"/>
  <c r="N17" s="1"/>
  <c r="C16"/>
  <c r="L16" s="1"/>
  <c r="N16" s="1"/>
  <c r="C15"/>
  <c r="L15" s="1"/>
  <c r="N15" s="1"/>
  <c r="C14"/>
  <c r="L14" s="1"/>
  <c r="N14" s="1"/>
  <c r="C13"/>
  <c r="L13" s="1"/>
  <c r="N13" s="1"/>
  <c r="C12"/>
  <c r="L12" s="1"/>
  <c r="N12" s="1"/>
  <c r="C11"/>
  <c r="L11" s="1"/>
  <c r="N11" s="1"/>
  <c r="C10"/>
  <c r="L10" s="1"/>
  <c r="N10" s="1"/>
  <c r="C9"/>
  <c r="L9" s="1"/>
  <c r="N9" s="1"/>
  <c r="C8"/>
  <c r="C16" i="2"/>
  <c r="K16" s="1"/>
  <c r="C25"/>
  <c r="K25" s="1"/>
  <c r="C24"/>
  <c r="K24" s="1"/>
  <c r="C23"/>
  <c r="K23" s="1"/>
  <c r="C22"/>
  <c r="K22" s="1"/>
  <c r="C21"/>
  <c r="K21" s="1"/>
  <c r="C19"/>
  <c r="K19" s="1"/>
  <c r="C18"/>
  <c r="K18" s="1"/>
  <c r="C17"/>
  <c r="K17" s="1"/>
  <c r="C9"/>
  <c r="K9" s="1"/>
  <c r="C10"/>
  <c r="K10" s="1"/>
  <c r="C11"/>
  <c r="K11" s="1"/>
  <c r="C12"/>
  <c r="K12" s="1"/>
  <c r="C13"/>
  <c r="K13" s="1"/>
  <c r="C14"/>
  <c r="K14" s="1"/>
  <c r="C15"/>
  <c r="K15" s="1"/>
  <c r="C8"/>
  <c r="B20"/>
  <c r="B7"/>
  <c r="Q28" i="5" l="1"/>
  <c r="L8" i="4"/>
  <c r="N8" s="1"/>
  <c r="N7" s="1"/>
  <c r="O8"/>
  <c r="K8" i="2"/>
  <c r="K7" s="1"/>
  <c r="L8"/>
  <c r="N20" i="4"/>
  <c r="L20"/>
  <c r="K20" i="2"/>
  <c r="B26"/>
  <c r="N26" i="4" l="1"/>
  <c r="L7"/>
  <c r="L26" s="1"/>
  <c r="K26" i="2"/>
</calcChain>
</file>

<file path=xl/sharedStrings.xml><?xml version="1.0" encoding="utf-8"?>
<sst xmlns="http://schemas.openxmlformats.org/spreadsheetml/2006/main" count="190" uniqueCount="49">
  <si>
    <t>г. Апатиты с подведомственной территорией</t>
  </si>
  <si>
    <t>г. Кировск с подведомственной территорией</t>
  </si>
  <si>
    <t>г. Мончегорск с подведомственной территорией</t>
  </si>
  <si>
    <t>г. Мурманск</t>
  </si>
  <si>
    <t>г. Оленегорск с подведомственной территорией</t>
  </si>
  <si>
    <t>г. Полярные Зори с подведомственной территорией</t>
  </si>
  <si>
    <t>ЗАТО Александровск</t>
  </si>
  <si>
    <t>ЗАТО г. Заозерск</t>
  </si>
  <si>
    <t>ЗАТО г. Островной</t>
  </si>
  <si>
    <t>ЗАТО г. Североморск</t>
  </si>
  <si>
    <t>ЗАТО п. Видяево</t>
  </si>
  <si>
    <t>Ковдорский район</t>
  </si>
  <si>
    <t>Муниципальные районы - итого</t>
  </si>
  <si>
    <t>Кандалакшский район</t>
  </si>
  <si>
    <t>Кольский район</t>
  </si>
  <si>
    <t>Ловозерский район</t>
  </si>
  <si>
    <t>Печенгский район</t>
  </si>
  <si>
    <t>Терский район</t>
  </si>
  <si>
    <t>тыс. рублей</t>
  </si>
  <si>
    <t>Муниципальные образования</t>
  </si>
  <si>
    <t>Городские округа:</t>
  </si>
  <si>
    <t>ИТОГО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</si>
  <si>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2018 год</t>
  </si>
  <si>
    <t>Прогнозируемое количество выплат на возмещение стоимости услуг по погребению умерших, указанных в статье 1 Закона</t>
  </si>
  <si>
    <t>Коэффициенты индексации размеров возмещения стоимости услуг по погребению, установленные законами Мурманской области об областном бюджете на предыдущие финансовые годы</t>
  </si>
  <si>
    <t>Коэффициент индексации размера возмещения стоимости услуг по погребению,
(G)</t>
  </si>
  <si>
    <t>G1</t>
  </si>
  <si>
    <t>G2</t>
  </si>
  <si>
    <t>Объем субвенции i-му муниципальному образованию на соответствующий финансовый год,
(Si)</t>
  </si>
  <si>
    <t>G3</t>
  </si>
  <si>
    <t>G4</t>
  </si>
  <si>
    <t>G5</t>
  </si>
  <si>
    <t>Размер возмещения стоимости услуг по погребению,  увеличенный на районный коэффициент, (N)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</si>
  <si>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2019 год</t>
  </si>
  <si>
    <t>G6</t>
  </si>
  <si>
    <t>G7</t>
  </si>
  <si>
    <t>Министр</t>
  </si>
  <si>
    <t>С.Б. Мякишев</t>
  </si>
  <si>
    <t>G8</t>
  </si>
  <si>
    <t>Коэффициент расходов на компенсацию затрат, (Ki)</t>
  </si>
  <si>
    <t>Предусмотрено Законом Мурманской области от 29.1.2018 N 2334-01-ЗМО "Об областном бюджете на 2019 год и на плановый период 2020 и 2021 годов"</t>
  </si>
  <si>
    <t>Отклонение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</si>
  <si>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2022 год</t>
  </si>
  <si>
    <t>G9</t>
  </si>
  <si>
    <t>G10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</si>
  <si>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2024 год</t>
  </si>
  <si>
    <t>G11</t>
  </si>
  <si>
    <t>рублей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</si>
  <si>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2023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</si>
</sst>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" fontId="7" fillId="0" borderId="10">
      <alignment horizontal="right" vertical="top" shrinkToFit="1"/>
    </xf>
    <xf numFmtId="4" fontId="7" fillId="0" borderId="10">
      <alignment horizontal="right" vertical="top" shrinkToFit="1"/>
    </xf>
  </cellStyleXfs>
  <cellXfs count="55">
    <xf numFmtId="0" fontId="0" fillId="0" borderId="0" xfId="0"/>
    <xf numFmtId="0" fontId="1" fillId="0" borderId="0" xfId="0" applyFont="1"/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164" fontId="3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3" fontId="1" fillId="0" borderId="0" xfId="0" applyNumberFormat="1" applyFont="1"/>
    <xf numFmtId="4" fontId="1" fillId="3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5" borderId="6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horizontal="right"/>
    </xf>
    <xf numFmtId="4" fontId="7" fillId="0" borderId="10" xfId="2" applyNumberFormat="1" applyProtection="1">
      <alignment horizontal="right" vertical="top" shrinkToFit="1"/>
    </xf>
    <xf numFmtId="165" fontId="1" fillId="0" borderId="3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 shrinkToFit="1"/>
    </xf>
    <xf numFmtId="0" fontId="2" fillId="4" borderId="0" xfId="0" applyFont="1" applyFill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</cellXfs>
  <cellStyles count="3">
    <cellStyle name="ex68" xfId="2"/>
    <cellStyle name="ex78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view="pageBreakPreview" topLeftCell="A5" zoomScale="80" zoomScaleNormal="100" zoomScaleSheetLayoutView="80" workbookViewId="0">
      <selection activeCell="D7" sqref="D7:D26"/>
    </sheetView>
  </sheetViews>
  <sheetFormatPr defaultRowHeight="14.4"/>
  <cols>
    <col min="1" max="1" width="49.109375" customWidth="1"/>
    <col min="2" max="2" width="24.6640625" customWidth="1"/>
    <col min="3" max="4" width="18.88671875" customWidth="1"/>
    <col min="5" max="5" width="19.44140625" customWidth="1"/>
    <col min="6" max="10" width="9.5546875" customWidth="1"/>
    <col min="11" max="11" width="22.88671875" customWidth="1"/>
    <col min="12" max="12" width="11" customWidth="1"/>
  </cols>
  <sheetData>
    <row r="1" spans="1:12" ht="34.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ht="72" customHeight="1">
      <c r="A2" s="40" t="s">
        <v>22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 ht="28.5" customHeight="1">
      <c r="A3" s="41" t="s">
        <v>18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s="4" customFormat="1" ht="98.25" customHeight="1">
      <c r="A4" s="45" t="s">
        <v>19</v>
      </c>
      <c r="B4" s="45" t="s">
        <v>23</v>
      </c>
      <c r="C4" s="45" t="s">
        <v>32</v>
      </c>
      <c r="D4" s="45" t="s">
        <v>39</v>
      </c>
      <c r="E4" s="45" t="s">
        <v>25</v>
      </c>
      <c r="F4" s="42" t="s">
        <v>24</v>
      </c>
      <c r="G4" s="43"/>
      <c r="H4" s="43"/>
      <c r="I4" s="43"/>
      <c r="J4" s="44"/>
      <c r="K4" s="45" t="s">
        <v>28</v>
      </c>
    </row>
    <row r="5" spans="1:12" ht="21" customHeight="1">
      <c r="A5" s="46"/>
      <c r="B5" s="46"/>
      <c r="C5" s="46"/>
      <c r="D5" s="46"/>
      <c r="E5" s="46"/>
      <c r="F5" s="6" t="s">
        <v>26</v>
      </c>
      <c r="G5" s="6" t="s">
        <v>27</v>
      </c>
      <c r="H5" s="6" t="s">
        <v>29</v>
      </c>
      <c r="I5" s="6" t="s">
        <v>30</v>
      </c>
      <c r="J5" s="6" t="s">
        <v>31</v>
      </c>
      <c r="K5" s="46"/>
    </row>
    <row r="6" spans="1:12" s="4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</row>
    <row r="7" spans="1:12" ht="27" customHeight="1">
      <c r="A7" s="9" t="s">
        <v>20</v>
      </c>
      <c r="B7" s="2">
        <f>SUM(B8:B19)</f>
        <v>281</v>
      </c>
      <c r="C7" s="2"/>
      <c r="D7" s="33">
        <v>1.0149999999999999</v>
      </c>
      <c r="E7" s="36">
        <v>1.04</v>
      </c>
      <c r="F7" s="33">
        <v>1.0549999999999999</v>
      </c>
      <c r="G7" s="33">
        <v>1.05</v>
      </c>
      <c r="H7" s="33">
        <v>1.0449999999999999</v>
      </c>
      <c r="I7" s="33">
        <v>1.04</v>
      </c>
      <c r="J7" s="33">
        <v>1.119</v>
      </c>
      <c r="K7" s="14">
        <f t="shared" ref="K7" si="0">SUM(K8:K19)</f>
        <v>2240600</v>
      </c>
    </row>
    <row r="8" spans="1:12" s="1" customFormat="1" ht="14.25" customHeight="1">
      <c r="A8" s="10" t="s">
        <v>0</v>
      </c>
      <c r="B8" s="5">
        <v>26</v>
      </c>
      <c r="C8" s="8">
        <f>4000*1.4</f>
        <v>5600</v>
      </c>
      <c r="D8" s="34"/>
      <c r="E8" s="37"/>
      <c r="F8" s="34"/>
      <c r="G8" s="34"/>
      <c r="H8" s="34"/>
      <c r="I8" s="34"/>
      <c r="J8" s="34"/>
      <c r="K8" s="15">
        <f>ROUNDUP(B8*C8*$E$7*$F$7*$G$7*$H$7*$I$7*$J$7*$D$7/1000,1)*1000</f>
        <v>207100</v>
      </c>
      <c r="L8" s="1">
        <f>C8*E7*F7*G7*H7*I7*J7</f>
        <v>7845.9013144512001</v>
      </c>
    </row>
    <row r="9" spans="1:12" s="1" customFormat="1" ht="14.25" customHeight="1">
      <c r="A9" s="10" t="s">
        <v>1</v>
      </c>
      <c r="B9" s="5">
        <v>15</v>
      </c>
      <c r="C9" s="8">
        <f t="shared" ref="C9:C19" si="1">4000*1.4</f>
        <v>5600</v>
      </c>
      <c r="D9" s="34"/>
      <c r="E9" s="37"/>
      <c r="F9" s="34"/>
      <c r="G9" s="34"/>
      <c r="H9" s="34"/>
      <c r="I9" s="34"/>
      <c r="J9" s="34"/>
      <c r="K9" s="15">
        <f t="shared" ref="K9:K25" si="2">ROUNDUP(B9*C9*$E$7*$F$7*$G$7*$H$7*$I$7*$J$7*$D$7/1000,1)*1000</f>
        <v>119500</v>
      </c>
    </row>
    <row r="10" spans="1:12" s="1" customFormat="1" ht="14.25" customHeight="1">
      <c r="A10" s="10" t="s">
        <v>2</v>
      </c>
      <c r="B10" s="5">
        <v>15</v>
      </c>
      <c r="C10" s="8">
        <f t="shared" si="1"/>
        <v>5600</v>
      </c>
      <c r="D10" s="34"/>
      <c r="E10" s="37"/>
      <c r="F10" s="34"/>
      <c r="G10" s="34"/>
      <c r="H10" s="34"/>
      <c r="I10" s="34"/>
      <c r="J10" s="34"/>
      <c r="K10" s="15">
        <f t="shared" si="2"/>
        <v>119500</v>
      </c>
    </row>
    <row r="11" spans="1:12" s="1" customFormat="1" ht="14.25" customHeight="1">
      <c r="A11" s="10" t="s">
        <v>3</v>
      </c>
      <c r="B11" s="5">
        <v>120</v>
      </c>
      <c r="C11" s="8">
        <f t="shared" si="1"/>
        <v>5600</v>
      </c>
      <c r="D11" s="34"/>
      <c r="E11" s="37"/>
      <c r="F11" s="34"/>
      <c r="G11" s="34"/>
      <c r="H11" s="34"/>
      <c r="I11" s="34"/>
      <c r="J11" s="34"/>
      <c r="K11" s="15">
        <f t="shared" si="2"/>
        <v>955700</v>
      </c>
    </row>
    <row r="12" spans="1:12" s="1" customFormat="1" ht="14.25" customHeight="1">
      <c r="A12" s="10" t="s">
        <v>4</v>
      </c>
      <c r="B12" s="5">
        <v>29</v>
      </c>
      <c r="C12" s="8">
        <f t="shared" si="1"/>
        <v>5600</v>
      </c>
      <c r="D12" s="34"/>
      <c r="E12" s="37"/>
      <c r="F12" s="34"/>
      <c r="G12" s="34"/>
      <c r="H12" s="34"/>
      <c r="I12" s="34"/>
      <c r="J12" s="34"/>
      <c r="K12" s="15">
        <f t="shared" si="2"/>
        <v>231000</v>
      </c>
    </row>
    <row r="13" spans="1:12" s="1" customFormat="1" ht="14.25" customHeight="1">
      <c r="A13" s="10" t="s">
        <v>5</v>
      </c>
      <c r="B13" s="5">
        <v>3</v>
      </c>
      <c r="C13" s="8">
        <f t="shared" si="1"/>
        <v>5600</v>
      </c>
      <c r="D13" s="34"/>
      <c r="E13" s="37"/>
      <c r="F13" s="34"/>
      <c r="G13" s="34"/>
      <c r="H13" s="34"/>
      <c r="I13" s="34"/>
      <c r="J13" s="34"/>
      <c r="K13" s="15">
        <f t="shared" si="2"/>
        <v>23900.000000000004</v>
      </c>
    </row>
    <row r="14" spans="1:12" s="1" customFormat="1" ht="14.25" customHeight="1">
      <c r="A14" s="10" t="s">
        <v>6</v>
      </c>
      <c r="B14" s="5">
        <v>14</v>
      </c>
      <c r="C14" s="8">
        <f t="shared" si="1"/>
        <v>5600</v>
      </c>
      <c r="D14" s="34"/>
      <c r="E14" s="37"/>
      <c r="F14" s="34"/>
      <c r="G14" s="34"/>
      <c r="H14" s="34"/>
      <c r="I14" s="34"/>
      <c r="J14" s="34"/>
      <c r="K14" s="15">
        <f t="shared" si="2"/>
        <v>111500</v>
      </c>
    </row>
    <row r="15" spans="1:12" s="1" customFormat="1" ht="14.25" customHeight="1">
      <c r="A15" s="10" t="s">
        <v>7</v>
      </c>
      <c r="B15" s="5">
        <v>1</v>
      </c>
      <c r="C15" s="8">
        <f t="shared" si="1"/>
        <v>5600</v>
      </c>
      <c r="D15" s="34"/>
      <c r="E15" s="37"/>
      <c r="F15" s="34"/>
      <c r="G15" s="34"/>
      <c r="H15" s="34"/>
      <c r="I15" s="34"/>
      <c r="J15" s="34"/>
      <c r="K15" s="15">
        <f t="shared" si="2"/>
        <v>8000</v>
      </c>
    </row>
    <row r="16" spans="1:12" s="1" customFormat="1" ht="14.25" customHeight="1">
      <c r="A16" s="10" t="s">
        <v>8</v>
      </c>
      <c r="B16" s="5">
        <v>1</v>
      </c>
      <c r="C16" s="8">
        <f>4000*1.8</f>
        <v>7200</v>
      </c>
      <c r="D16" s="34"/>
      <c r="E16" s="37"/>
      <c r="F16" s="34"/>
      <c r="G16" s="34"/>
      <c r="H16" s="34"/>
      <c r="I16" s="34"/>
      <c r="J16" s="34"/>
      <c r="K16" s="15">
        <f t="shared" si="2"/>
        <v>10299.999999999998</v>
      </c>
    </row>
    <row r="17" spans="1:11" s="1" customFormat="1" ht="14.25" customHeight="1">
      <c r="A17" s="10" t="s">
        <v>9</v>
      </c>
      <c r="B17" s="5">
        <v>51</v>
      </c>
      <c r="C17" s="8">
        <f t="shared" si="1"/>
        <v>5600</v>
      </c>
      <c r="D17" s="34"/>
      <c r="E17" s="37"/>
      <c r="F17" s="34"/>
      <c r="G17" s="34"/>
      <c r="H17" s="34"/>
      <c r="I17" s="34"/>
      <c r="J17" s="34"/>
      <c r="K17" s="15">
        <f t="shared" si="2"/>
        <v>406200.00000000006</v>
      </c>
    </row>
    <row r="18" spans="1:11" s="1" customFormat="1" ht="14.25" customHeight="1">
      <c r="A18" s="10" t="s">
        <v>10</v>
      </c>
      <c r="B18" s="5">
        <v>1</v>
      </c>
      <c r="C18" s="8">
        <f t="shared" si="1"/>
        <v>5600</v>
      </c>
      <c r="D18" s="34"/>
      <c r="E18" s="37"/>
      <c r="F18" s="34"/>
      <c r="G18" s="34"/>
      <c r="H18" s="34"/>
      <c r="I18" s="34"/>
      <c r="J18" s="34"/>
      <c r="K18" s="15">
        <f t="shared" si="2"/>
        <v>8000</v>
      </c>
    </row>
    <row r="19" spans="1:11" s="1" customFormat="1" ht="14.25" customHeight="1">
      <c r="A19" s="10" t="s">
        <v>11</v>
      </c>
      <c r="B19" s="5">
        <v>5</v>
      </c>
      <c r="C19" s="8">
        <f t="shared" si="1"/>
        <v>5600</v>
      </c>
      <c r="D19" s="34"/>
      <c r="E19" s="37"/>
      <c r="F19" s="34"/>
      <c r="G19" s="34"/>
      <c r="H19" s="34"/>
      <c r="I19" s="34"/>
      <c r="J19" s="34"/>
      <c r="K19" s="15">
        <f t="shared" si="2"/>
        <v>39900</v>
      </c>
    </row>
    <row r="20" spans="1:11" ht="27" customHeight="1">
      <c r="A20" s="9" t="s">
        <v>12</v>
      </c>
      <c r="B20" s="2">
        <f>SUM(B21:B25)</f>
        <v>34</v>
      </c>
      <c r="C20" s="2"/>
      <c r="D20" s="34"/>
      <c r="E20" s="37"/>
      <c r="F20" s="34"/>
      <c r="G20" s="34"/>
      <c r="H20" s="34"/>
      <c r="I20" s="34"/>
      <c r="J20" s="34"/>
      <c r="K20" s="14">
        <f>SUM(K21:K25)</f>
        <v>271000</v>
      </c>
    </row>
    <row r="21" spans="1:11" s="1" customFormat="1" ht="14.25" customHeight="1">
      <c r="A21" s="10" t="s">
        <v>13</v>
      </c>
      <c r="B21" s="5">
        <v>21</v>
      </c>
      <c r="C21" s="8">
        <f t="shared" ref="C21:C25" si="3">4000*1.4</f>
        <v>5600</v>
      </c>
      <c r="D21" s="34"/>
      <c r="E21" s="37"/>
      <c r="F21" s="34"/>
      <c r="G21" s="34"/>
      <c r="H21" s="34"/>
      <c r="I21" s="34"/>
      <c r="J21" s="34"/>
      <c r="K21" s="15">
        <f t="shared" si="2"/>
        <v>167299.99999999997</v>
      </c>
    </row>
    <row r="22" spans="1:11" s="1" customFormat="1" ht="14.25" customHeight="1">
      <c r="A22" s="10" t="s">
        <v>14</v>
      </c>
      <c r="B22" s="5">
        <v>5</v>
      </c>
      <c r="C22" s="8">
        <f t="shared" si="3"/>
        <v>5600</v>
      </c>
      <c r="D22" s="34"/>
      <c r="E22" s="37"/>
      <c r="F22" s="34"/>
      <c r="G22" s="34"/>
      <c r="H22" s="34"/>
      <c r="I22" s="34"/>
      <c r="J22" s="34"/>
      <c r="K22" s="15">
        <f t="shared" si="2"/>
        <v>39900</v>
      </c>
    </row>
    <row r="23" spans="1:11" s="1" customFormat="1" ht="14.25" customHeight="1">
      <c r="A23" s="10" t="s">
        <v>15</v>
      </c>
      <c r="B23" s="5">
        <v>3</v>
      </c>
      <c r="C23" s="8">
        <f t="shared" si="3"/>
        <v>5600</v>
      </c>
      <c r="D23" s="34"/>
      <c r="E23" s="37"/>
      <c r="F23" s="34"/>
      <c r="G23" s="34"/>
      <c r="H23" s="34"/>
      <c r="I23" s="34"/>
      <c r="J23" s="34"/>
      <c r="K23" s="15">
        <f t="shared" si="2"/>
        <v>23900.000000000004</v>
      </c>
    </row>
    <row r="24" spans="1:11" s="1" customFormat="1" ht="14.25" customHeight="1">
      <c r="A24" s="10" t="s">
        <v>16</v>
      </c>
      <c r="B24" s="5">
        <v>4</v>
      </c>
      <c r="C24" s="8">
        <f t="shared" si="3"/>
        <v>5600</v>
      </c>
      <c r="D24" s="34"/>
      <c r="E24" s="37"/>
      <c r="F24" s="34"/>
      <c r="G24" s="34"/>
      <c r="H24" s="34"/>
      <c r="I24" s="34"/>
      <c r="J24" s="34"/>
      <c r="K24" s="15">
        <f t="shared" si="2"/>
        <v>31900.000000000004</v>
      </c>
    </row>
    <row r="25" spans="1:11" s="1" customFormat="1" ht="14.25" customHeight="1">
      <c r="A25" s="10" t="s">
        <v>17</v>
      </c>
      <c r="B25" s="5">
        <v>1</v>
      </c>
      <c r="C25" s="8">
        <f t="shared" si="3"/>
        <v>5600</v>
      </c>
      <c r="D25" s="34"/>
      <c r="E25" s="37"/>
      <c r="F25" s="34"/>
      <c r="G25" s="34"/>
      <c r="H25" s="34"/>
      <c r="I25" s="34"/>
      <c r="J25" s="34"/>
      <c r="K25" s="15">
        <f t="shared" si="2"/>
        <v>8000</v>
      </c>
    </row>
    <row r="26" spans="1:11" ht="27" customHeight="1">
      <c r="A26" s="9" t="s">
        <v>21</v>
      </c>
      <c r="B26" s="2">
        <f>B20+B7</f>
        <v>315</v>
      </c>
      <c r="C26" s="2"/>
      <c r="D26" s="35"/>
      <c r="E26" s="38"/>
      <c r="F26" s="35"/>
      <c r="G26" s="35"/>
      <c r="H26" s="35"/>
      <c r="I26" s="35"/>
      <c r="J26" s="35"/>
      <c r="K26" s="14">
        <f t="shared" ref="K26" si="4">K20+K7</f>
        <v>2511600</v>
      </c>
    </row>
    <row r="29" spans="1:11" s="13" customFormat="1" ht="20.399999999999999">
      <c r="A29" s="13" t="s">
        <v>36</v>
      </c>
      <c r="E29" s="13" t="s">
        <v>37</v>
      </c>
    </row>
  </sheetData>
  <mergeCells count="17">
    <mergeCell ref="A1:K1"/>
    <mergeCell ref="A2:K2"/>
    <mergeCell ref="A3:K3"/>
    <mergeCell ref="F4:J4"/>
    <mergeCell ref="K4:K5"/>
    <mergeCell ref="B4:B5"/>
    <mergeCell ref="A4:A5"/>
    <mergeCell ref="C4:C5"/>
    <mergeCell ref="E4:E5"/>
    <mergeCell ref="D4:D5"/>
    <mergeCell ref="D7:D26"/>
    <mergeCell ref="E7:E26"/>
    <mergeCell ref="F7:F26"/>
    <mergeCell ref="J7:J26"/>
    <mergeCell ref="G7:G26"/>
    <mergeCell ref="H7:H26"/>
    <mergeCell ref="I7:I26"/>
  </mergeCells>
  <pageMargins left="0.25" right="0.25" top="0.75" bottom="0.75" header="0.3" footer="0.3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view="pageBreakPreview" zoomScale="70" zoomScaleNormal="10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9" sqref="P9"/>
    </sheetView>
  </sheetViews>
  <sheetFormatPr defaultRowHeight="14.4"/>
  <cols>
    <col min="1" max="1" width="50" customWidth="1"/>
    <col min="2" max="2" width="24.6640625" customWidth="1"/>
    <col min="3" max="4" width="18.88671875" customWidth="1"/>
    <col min="5" max="5" width="18.6640625" customWidth="1"/>
    <col min="6" max="11" width="9.5546875" customWidth="1"/>
    <col min="12" max="12" width="22.88671875" customWidth="1"/>
    <col min="13" max="13" width="21.33203125" customWidth="1"/>
    <col min="14" max="14" width="19.109375" customWidth="1"/>
    <col min="15" max="15" width="12.5546875" customWidth="1"/>
  </cols>
  <sheetData>
    <row r="1" spans="1:15" ht="34.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5" ht="81" customHeight="1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5" ht="9.6" customHeight="1">
      <c r="A3" s="41" t="s">
        <v>18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5" s="4" customFormat="1" ht="95.4" customHeight="1">
      <c r="A4" s="45" t="s">
        <v>19</v>
      </c>
      <c r="B4" s="45" t="s">
        <v>23</v>
      </c>
      <c r="C4" s="45" t="s">
        <v>32</v>
      </c>
      <c r="D4" s="45" t="s">
        <v>39</v>
      </c>
      <c r="E4" s="45" t="s">
        <v>25</v>
      </c>
      <c r="F4" s="42" t="s">
        <v>24</v>
      </c>
      <c r="G4" s="43"/>
      <c r="H4" s="43"/>
      <c r="I4" s="43"/>
      <c r="J4" s="43"/>
      <c r="K4" s="44"/>
      <c r="L4" s="45" t="s">
        <v>28</v>
      </c>
      <c r="M4" s="47" t="s">
        <v>40</v>
      </c>
      <c r="N4" s="48" t="s">
        <v>41</v>
      </c>
    </row>
    <row r="5" spans="1:15" ht="111" customHeight="1">
      <c r="A5" s="46"/>
      <c r="B5" s="46"/>
      <c r="C5" s="46"/>
      <c r="D5" s="46"/>
      <c r="E5" s="46"/>
      <c r="F5" s="6" t="s">
        <v>26</v>
      </c>
      <c r="G5" s="6" t="s">
        <v>27</v>
      </c>
      <c r="H5" s="6" t="s">
        <v>29</v>
      </c>
      <c r="I5" s="6" t="s">
        <v>30</v>
      </c>
      <c r="J5" s="6" t="s">
        <v>31</v>
      </c>
      <c r="K5" s="6" t="s">
        <v>34</v>
      </c>
      <c r="L5" s="46"/>
      <c r="M5" s="47"/>
      <c r="N5" s="49"/>
    </row>
    <row r="6" spans="1:15" s="4" customFormat="1">
      <c r="A6" s="7">
        <v>1</v>
      </c>
      <c r="B6" s="7">
        <v>2</v>
      </c>
      <c r="C6" s="7">
        <v>3</v>
      </c>
      <c r="D6" s="7">
        <v>4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25">
        <v>12</v>
      </c>
      <c r="N6" s="25">
        <v>13</v>
      </c>
    </row>
    <row r="7" spans="1:15" ht="21.75" customHeight="1">
      <c r="A7" s="9" t="s">
        <v>20</v>
      </c>
      <c r="B7" s="2">
        <f>SUM(B8:B19)</f>
        <v>281</v>
      </c>
      <c r="C7" s="2"/>
      <c r="D7" s="33">
        <v>1.0149999999999999</v>
      </c>
      <c r="E7" s="33">
        <v>1.0229999999999999</v>
      </c>
      <c r="F7" s="33">
        <v>1.0549999999999999</v>
      </c>
      <c r="G7" s="33">
        <v>1.05</v>
      </c>
      <c r="H7" s="33">
        <v>1.0449999999999999</v>
      </c>
      <c r="I7" s="33">
        <v>1.04</v>
      </c>
      <c r="J7" s="33">
        <v>1.119</v>
      </c>
      <c r="K7" s="33">
        <v>1.04</v>
      </c>
      <c r="L7" s="3">
        <f t="shared" ref="L7:N7" si="0">SUM(L8:L19)</f>
        <v>2292200</v>
      </c>
      <c r="M7" s="3">
        <f t="shared" si="0"/>
        <v>2259600</v>
      </c>
      <c r="N7" s="3">
        <f t="shared" si="0"/>
        <v>32600.000000000015</v>
      </c>
    </row>
    <row r="8" spans="1:15" s="1" customFormat="1" ht="14.25" customHeight="1">
      <c r="A8" s="10" t="s">
        <v>0</v>
      </c>
      <c r="B8" s="17">
        <v>18</v>
      </c>
      <c r="C8" s="8">
        <f>4000*1.4</f>
        <v>5600</v>
      </c>
      <c r="D8" s="34"/>
      <c r="E8" s="34"/>
      <c r="F8" s="34"/>
      <c r="G8" s="34"/>
      <c r="H8" s="34"/>
      <c r="I8" s="34"/>
      <c r="J8" s="34"/>
      <c r="K8" s="34"/>
      <c r="L8" s="11">
        <f>ROUNDUP(B8*C8*$E$7*$F$7*$G$7*$H$7*$I$7*$K$7*$J$7*$D$7/1000,1)*1000</f>
        <v>146700</v>
      </c>
      <c r="M8" s="19">
        <v>122300</v>
      </c>
      <c r="N8" s="18">
        <f>L8-M8</f>
        <v>24400</v>
      </c>
      <c r="O8" s="8">
        <f>C8*E7*F7*G7*H7*I7*J7*K7</f>
        <v>8026.3570446835765</v>
      </c>
    </row>
    <row r="9" spans="1:15" s="1" customFormat="1" ht="14.25" customHeight="1">
      <c r="A9" s="10" t="s">
        <v>1</v>
      </c>
      <c r="B9" s="5">
        <v>5</v>
      </c>
      <c r="C9" s="8">
        <f t="shared" ref="C9:C19" si="1">4000*1.4</f>
        <v>5600</v>
      </c>
      <c r="D9" s="34"/>
      <c r="E9" s="34"/>
      <c r="F9" s="34"/>
      <c r="G9" s="34"/>
      <c r="H9" s="34"/>
      <c r="I9" s="34"/>
      <c r="J9" s="34"/>
      <c r="K9" s="34"/>
      <c r="L9" s="11">
        <f t="shared" ref="L9:L25" si="2">ROUNDUP(B9*C9*$E$7*$F$7*$G$7*$H$7*$I$7*$K$7*$J$7*$D$7/1000,1)*1000</f>
        <v>40800.000000000007</v>
      </c>
      <c r="M9" s="19">
        <v>122300</v>
      </c>
      <c r="N9" s="18">
        <f t="shared" ref="N9:N25" si="3">L9-M9</f>
        <v>-81500</v>
      </c>
    </row>
    <row r="10" spans="1:15" s="1" customFormat="1" ht="14.25" customHeight="1">
      <c r="A10" s="10" t="s">
        <v>2</v>
      </c>
      <c r="B10" s="16">
        <v>19</v>
      </c>
      <c r="C10" s="8">
        <f t="shared" si="1"/>
        <v>5600</v>
      </c>
      <c r="D10" s="34"/>
      <c r="E10" s="34"/>
      <c r="F10" s="34"/>
      <c r="G10" s="34"/>
      <c r="H10" s="34"/>
      <c r="I10" s="34"/>
      <c r="J10" s="34"/>
      <c r="K10" s="34"/>
      <c r="L10" s="11">
        <f t="shared" si="2"/>
        <v>154799.99999999997</v>
      </c>
      <c r="M10" s="19">
        <v>122300</v>
      </c>
      <c r="N10" s="18">
        <f t="shared" si="3"/>
        <v>32499.999999999971</v>
      </c>
    </row>
    <row r="11" spans="1:15" s="1" customFormat="1" ht="14.25" customHeight="1">
      <c r="A11" s="10" t="s">
        <v>3</v>
      </c>
      <c r="B11" s="16">
        <v>125</v>
      </c>
      <c r="C11" s="8">
        <f t="shared" si="1"/>
        <v>5600</v>
      </c>
      <c r="D11" s="34"/>
      <c r="E11" s="34"/>
      <c r="F11" s="34"/>
      <c r="G11" s="34"/>
      <c r="H11" s="34"/>
      <c r="I11" s="34"/>
      <c r="J11" s="34"/>
      <c r="K11" s="34"/>
      <c r="L11" s="11">
        <f t="shared" si="2"/>
        <v>1018400</v>
      </c>
      <c r="M11" s="19">
        <v>1018400</v>
      </c>
      <c r="N11" s="18">
        <f t="shared" si="3"/>
        <v>0</v>
      </c>
    </row>
    <row r="12" spans="1:15" s="1" customFormat="1" ht="14.25" customHeight="1">
      <c r="A12" s="10" t="s">
        <v>4</v>
      </c>
      <c r="B12" s="16">
        <v>37</v>
      </c>
      <c r="C12" s="8">
        <f t="shared" si="1"/>
        <v>5600</v>
      </c>
      <c r="D12" s="34"/>
      <c r="E12" s="34"/>
      <c r="F12" s="34"/>
      <c r="G12" s="34"/>
      <c r="H12" s="34"/>
      <c r="I12" s="34"/>
      <c r="J12" s="34"/>
      <c r="K12" s="34"/>
      <c r="L12" s="11">
        <f t="shared" si="2"/>
        <v>301500</v>
      </c>
      <c r="M12" s="19">
        <v>236300</v>
      </c>
      <c r="N12" s="18">
        <f t="shared" si="3"/>
        <v>65200</v>
      </c>
    </row>
    <row r="13" spans="1:15" s="1" customFormat="1" ht="14.25" customHeight="1">
      <c r="A13" s="10" t="s">
        <v>5</v>
      </c>
      <c r="B13" s="16">
        <v>2</v>
      </c>
      <c r="C13" s="8">
        <f t="shared" si="1"/>
        <v>5600</v>
      </c>
      <c r="D13" s="34"/>
      <c r="E13" s="34"/>
      <c r="F13" s="34"/>
      <c r="G13" s="34"/>
      <c r="H13" s="34"/>
      <c r="I13" s="34"/>
      <c r="J13" s="34"/>
      <c r="K13" s="34"/>
      <c r="L13" s="11">
        <f t="shared" si="2"/>
        <v>16300</v>
      </c>
      <c r="M13" s="19">
        <v>16300</v>
      </c>
      <c r="N13" s="18">
        <f t="shared" si="3"/>
        <v>0</v>
      </c>
    </row>
    <row r="14" spans="1:15" s="1" customFormat="1" ht="14.25" customHeight="1">
      <c r="A14" s="10" t="s">
        <v>6</v>
      </c>
      <c r="B14" s="16">
        <v>9</v>
      </c>
      <c r="C14" s="8">
        <f t="shared" si="1"/>
        <v>5600</v>
      </c>
      <c r="D14" s="34"/>
      <c r="E14" s="34"/>
      <c r="F14" s="34"/>
      <c r="G14" s="34"/>
      <c r="H14" s="34"/>
      <c r="I14" s="34"/>
      <c r="J14" s="34"/>
      <c r="K14" s="34"/>
      <c r="L14" s="11">
        <f t="shared" si="2"/>
        <v>73399.999999999985</v>
      </c>
      <c r="M14" s="19">
        <v>114100</v>
      </c>
      <c r="N14" s="18">
        <f t="shared" si="3"/>
        <v>-40700.000000000015</v>
      </c>
    </row>
    <row r="15" spans="1:15" s="1" customFormat="1" ht="14.25" customHeight="1">
      <c r="A15" s="10" t="s">
        <v>7</v>
      </c>
      <c r="B15" s="5">
        <v>7</v>
      </c>
      <c r="C15" s="20">
        <f t="shared" si="1"/>
        <v>5600</v>
      </c>
      <c r="D15" s="34"/>
      <c r="E15" s="34"/>
      <c r="F15" s="34"/>
      <c r="G15" s="34"/>
      <c r="H15" s="34"/>
      <c r="I15" s="34"/>
      <c r="J15" s="34"/>
      <c r="K15" s="34"/>
      <c r="L15" s="11">
        <f t="shared" si="2"/>
        <v>57100</v>
      </c>
      <c r="M15" s="19">
        <v>16300</v>
      </c>
      <c r="N15" s="18">
        <f t="shared" si="3"/>
        <v>40800</v>
      </c>
    </row>
    <row r="16" spans="1:15" s="1" customFormat="1" ht="14.25" customHeight="1">
      <c r="A16" s="10" t="s">
        <v>8</v>
      </c>
      <c r="B16" s="16">
        <v>1</v>
      </c>
      <c r="C16" s="8">
        <f>4000*1.8</f>
        <v>7200</v>
      </c>
      <c r="D16" s="34"/>
      <c r="E16" s="34"/>
      <c r="F16" s="34"/>
      <c r="G16" s="34"/>
      <c r="H16" s="34"/>
      <c r="I16" s="34"/>
      <c r="J16" s="34"/>
      <c r="K16" s="34"/>
      <c r="L16" s="11">
        <f t="shared" si="2"/>
        <v>10500</v>
      </c>
      <c r="M16" s="19">
        <v>10500</v>
      </c>
      <c r="N16" s="18">
        <f t="shared" si="3"/>
        <v>0</v>
      </c>
    </row>
    <row r="17" spans="1:14" s="1" customFormat="1" ht="14.25" customHeight="1">
      <c r="A17" s="10" t="s">
        <v>9</v>
      </c>
      <c r="B17" s="16">
        <v>50</v>
      </c>
      <c r="C17" s="8">
        <f t="shared" si="1"/>
        <v>5600</v>
      </c>
      <c r="D17" s="34"/>
      <c r="E17" s="34"/>
      <c r="F17" s="34"/>
      <c r="G17" s="34"/>
      <c r="H17" s="34"/>
      <c r="I17" s="34"/>
      <c r="J17" s="34"/>
      <c r="K17" s="34"/>
      <c r="L17" s="11">
        <f t="shared" si="2"/>
        <v>407400.00000000006</v>
      </c>
      <c r="M17" s="19">
        <v>415500</v>
      </c>
      <c r="N17" s="18">
        <f t="shared" si="3"/>
        <v>-8099.9999999999418</v>
      </c>
    </row>
    <row r="18" spans="1:14" s="1" customFormat="1" ht="14.25" customHeight="1">
      <c r="A18" s="10" t="s">
        <v>10</v>
      </c>
      <c r="B18" s="16">
        <v>1</v>
      </c>
      <c r="C18" s="8">
        <f t="shared" si="1"/>
        <v>5600</v>
      </c>
      <c r="D18" s="34"/>
      <c r="E18" s="34"/>
      <c r="F18" s="34"/>
      <c r="G18" s="34"/>
      <c r="H18" s="34"/>
      <c r="I18" s="34"/>
      <c r="J18" s="34"/>
      <c r="K18" s="34"/>
      <c r="L18" s="11">
        <f t="shared" si="2"/>
        <v>8200</v>
      </c>
      <c r="M18" s="19">
        <v>8200</v>
      </c>
      <c r="N18" s="18">
        <f t="shared" si="3"/>
        <v>0</v>
      </c>
    </row>
    <row r="19" spans="1:14" s="1" customFormat="1" ht="14.25" customHeight="1">
      <c r="A19" s="10" t="s">
        <v>11</v>
      </c>
      <c r="B19" s="16">
        <v>7</v>
      </c>
      <c r="C19" s="8">
        <f t="shared" si="1"/>
        <v>5600</v>
      </c>
      <c r="D19" s="34"/>
      <c r="E19" s="34"/>
      <c r="F19" s="34"/>
      <c r="G19" s="34"/>
      <c r="H19" s="34"/>
      <c r="I19" s="34"/>
      <c r="J19" s="34"/>
      <c r="K19" s="34"/>
      <c r="L19" s="11">
        <f t="shared" si="2"/>
        <v>57100</v>
      </c>
      <c r="M19" s="19">
        <v>57100</v>
      </c>
      <c r="N19" s="18">
        <f t="shared" si="3"/>
        <v>0</v>
      </c>
    </row>
    <row r="20" spans="1:14" ht="21.75" customHeight="1">
      <c r="A20" s="9" t="s">
        <v>12</v>
      </c>
      <c r="B20" s="2">
        <f>SUM(B21:B25)</f>
        <v>39</v>
      </c>
      <c r="C20" s="2"/>
      <c r="D20" s="34"/>
      <c r="E20" s="34"/>
      <c r="F20" s="34"/>
      <c r="G20" s="34"/>
      <c r="H20" s="34"/>
      <c r="I20" s="34"/>
      <c r="J20" s="34"/>
      <c r="K20" s="34"/>
      <c r="L20" s="3">
        <f>SUM(L21:L25)</f>
        <v>317900</v>
      </c>
      <c r="M20" s="3">
        <f t="shared" ref="M20:N20" si="4">SUM(M21:M25)</f>
        <v>366800</v>
      </c>
      <c r="N20" s="3">
        <f t="shared" si="4"/>
        <v>-48900</v>
      </c>
    </row>
    <row r="21" spans="1:14" s="1" customFormat="1" ht="14.25" customHeight="1">
      <c r="A21" s="10" t="s">
        <v>13</v>
      </c>
      <c r="B21" s="17">
        <v>10</v>
      </c>
      <c r="C21" s="8">
        <f t="shared" ref="C21:C25" si="5">4000*1.4</f>
        <v>5600</v>
      </c>
      <c r="D21" s="34"/>
      <c r="E21" s="34"/>
      <c r="F21" s="34"/>
      <c r="G21" s="34"/>
      <c r="H21" s="34"/>
      <c r="I21" s="34"/>
      <c r="J21" s="34"/>
      <c r="K21" s="34"/>
      <c r="L21" s="11">
        <f t="shared" si="2"/>
        <v>81500</v>
      </c>
      <c r="M21" s="19">
        <v>171100</v>
      </c>
      <c r="N21" s="18">
        <f t="shared" si="3"/>
        <v>-89600</v>
      </c>
    </row>
    <row r="22" spans="1:14" s="1" customFormat="1" ht="14.25" customHeight="1">
      <c r="A22" s="10" t="s">
        <v>14</v>
      </c>
      <c r="B22" s="16">
        <v>14</v>
      </c>
      <c r="C22" s="8">
        <f t="shared" si="5"/>
        <v>5600</v>
      </c>
      <c r="D22" s="34"/>
      <c r="E22" s="34"/>
      <c r="F22" s="34"/>
      <c r="G22" s="34"/>
      <c r="H22" s="34"/>
      <c r="I22" s="34"/>
      <c r="J22" s="34"/>
      <c r="K22" s="34"/>
      <c r="L22" s="11">
        <f t="shared" si="2"/>
        <v>114100</v>
      </c>
      <c r="M22" s="19">
        <v>114100</v>
      </c>
      <c r="N22" s="18">
        <f t="shared" si="3"/>
        <v>0</v>
      </c>
    </row>
    <row r="23" spans="1:14" s="1" customFormat="1" ht="14.25" customHeight="1">
      <c r="A23" s="10" t="s">
        <v>15</v>
      </c>
      <c r="B23" s="16">
        <v>6</v>
      </c>
      <c r="C23" s="8">
        <f t="shared" si="5"/>
        <v>5600</v>
      </c>
      <c r="D23" s="34"/>
      <c r="E23" s="34"/>
      <c r="F23" s="34"/>
      <c r="G23" s="34"/>
      <c r="H23" s="34"/>
      <c r="I23" s="34"/>
      <c r="J23" s="34"/>
      <c r="K23" s="34"/>
      <c r="L23" s="11">
        <f t="shared" si="2"/>
        <v>48900</v>
      </c>
      <c r="M23" s="19">
        <v>24500</v>
      </c>
      <c r="N23" s="18">
        <f t="shared" si="3"/>
        <v>24400</v>
      </c>
    </row>
    <row r="24" spans="1:14" s="1" customFormat="1" ht="14.25" customHeight="1">
      <c r="A24" s="10" t="s">
        <v>16</v>
      </c>
      <c r="B24" s="16">
        <v>6</v>
      </c>
      <c r="C24" s="8">
        <f t="shared" si="5"/>
        <v>5600</v>
      </c>
      <c r="D24" s="34"/>
      <c r="E24" s="34"/>
      <c r="F24" s="34"/>
      <c r="G24" s="34"/>
      <c r="H24" s="34"/>
      <c r="I24" s="34"/>
      <c r="J24" s="34"/>
      <c r="K24" s="34"/>
      <c r="L24" s="11">
        <f t="shared" si="2"/>
        <v>48900</v>
      </c>
      <c r="M24" s="19">
        <v>32600</v>
      </c>
      <c r="N24" s="18">
        <f t="shared" si="3"/>
        <v>16300</v>
      </c>
    </row>
    <row r="25" spans="1:14" s="1" customFormat="1" ht="14.25" customHeight="1">
      <c r="A25" s="10" t="s">
        <v>17</v>
      </c>
      <c r="B25" s="16">
        <v>3</v>
      </c>
      <c r="C25" s="8">
        <f t="shared" si="5"/>
        <v>5600</v>
      </c>
      <c r="D25" s="34"/>
      <c r="E25" s="34"/>
      <c r="F25" s="34"/>
      <c r="G25" s="34"/>
      <c r="H25" s="34"/>
      <c r="I25" s="34"/>
      <c r="J25" s="34"/>
      <c r="K25" s="34"/>
      <c r="L25" s="11">
        <f t="shared" si="2"/>
        <v>24500</v>
      </c>
      <c r="M25" s="19">
        <v>24500</v>
      </c>
      <c r="N25" s="18">
        <f t="shared" si="3"/>
        <v>0</v>
      </c>
    </row>
    <row r="26" spans="1:14" ht="21.75" customHeight="1">
      <c r="A26" s="9" t="s">
        <v>21</v>
      </c>
      <c r="B26" s="2">
        <f>B20+B7</f>
        <v>320</v>
      </c>
      <c r="C26" s="2"/>
      <c r="D26" s="35"/>
      <c r="E26" s="35"/>
      <c r="F26" s="35"/>
      <c r="G26" s="35"/>
      <c r="H26" s="35"/>
      <c r="I26" s="35"/>
      <c r="J26" s="35"/>
      <c r="K26" s="35"/>
      <c r="L26" s="3">
        <f t="shared" ref="L26:N26" si="6">L20+L7</f>
        <v>2610100</v>
      </c>
      <c r="M26" s="3">
        <f t="shared" si="6"/>
        <v>2626400</v>
      </c>
      <c r="N26" s="3">
        <f t="shared" si="6"/>
        <v>-16299.999999999985</v>
      </c>
    </row>
    <row r="29" spans="1:14" ht="20.399999999999999">
      <c r="D29" s="13"/>
    </row>
  </sheetData>
  <autoFilter ref="A6:N26"/>
  <mergeCells count="20">
    <mergeCell ref="H7:H26"/>
    <mergeCell ref="I7:I26"/>
    <mergeCell ref="M4:M5"/>
    <mergeCell ref="N4:N5"/>
    <mergeCell ref="D4:D5"/>
    <mergeCell ref="D7:D26"/>
    <mergeCell ref="K7:K26"/>
    <mergeCell ref="J7:J26"/>
    <mergeCell ref="E7:E26"/>
    <mergeCell ref="F7:F26"/>
    <mergeCell ref="G7:G26"/>
    <mergeCell ref="A1:L1"/>
    <mergeCell ref="A2:L2"/>
    <mergeCell ref="A3:L3"/>
    <mergeCell ref="A4:A5"/>
    <mergeCell ref="B4:B5"/>
    <mergeCell ref="C4:C5"/>
    <mergeCell ref="E4:E5"/>
    <mergeCell ref="F4:K4"/>
    <mergeCell ref="L4:L5"/>
  </mergeCells>
  <pageMargins left="0.23622047244094491" right="0.23622047244094491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0"/>
  <sheetViews>
    <sheetView tabSelected="1" view="pageBreakPreview" zoomScale="60" zoomScaleNormal="100" workbookViewId="0">
      <selection activeCell="A3" sqref="A3:O3"/>
    </sheetView>
  </sheetViews>
  <sheetFormatPr defaultRowHeight="14.4"/>
  <cols>
    <col min="1" max="1" width="41.88671875" customWidth="1"/>
    <col min="2" max="2" width="24.6640625" customWidth="1"/>
    <col min="3" max="3" width="18.88671875" customWidth="1"/>
    <col min="4" max="4" width="11.44140625" customWidth="1"/>
    <col min="5" max="5" width="15.88671875" customWidth="1"/>
    <col min="6" max="14" width="9.5546875" customWidth="1"/>
    <col min="15" max="15" width="22.88671875" customWidth="1"/>
    <col min="16" max="16" width="11" hidden="1" customWidth="1"/>
    <col min="17" max="17" width="13" customWidth="1"/>
  </cols>
  <sheetData>
    <row r="2" spans="1:17" ht="34.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ht="72" customHeight="1">
      <c r="A3" s="40" t="s">
        <v>42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7" ht="28.5" customHeight="1">
      <c r="A4" s="41" t="s">
        <v>47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7" s="4" customFormat="1" ht="98.25" customHeight="1">
      <c r="A5" s="45" t="s">
        <v>19</v>
      </c>
      <c r="B5" s="45" t="s">
        <v>23</v>
      </c>
      <c r="C5" s="45" t="s">
        <v>32</v>
      </c>
      <c r="D5" s="45" t="s">
        <v>39</v>
      </c>
      <c r="E5" s="45" t="s">
        <v>25</v>
      </c>
      <c r="F5" s="42" t="s">
        <v>24</v>
      </c>
      <c r="G5" s="43"/>
      <c r="H5" s="43"/>
      <c r="I5" s="43"/>
      <c r="J5" s="43"/>
      <c r="K5" s="43"/>
      <c r="L5" s="43"/>
      <c r="M5" s="43"/>
      <c r="N5" s="44"/>
      <c r="O5" s="45" t="s">
        <v>28</v>
      </c>
    </row>
    <row r="6" spans="1:17" ht="31.5" customHeight="1">
      <c r="A6" s="46"/>
      <c r="B6" s="46"/>
      <c r="C6" s="46"/>
      <c r="D6" s="46"/>
      <c r="E6" s="46"/>
      <c r="F6" s="22" t="s">
        <v>26</v>
      </c>
      <c r="G6" s="22" t="s">
        <v>27</v>
      </c>
      <c r="H6" s="22" t="s">
        <v>29</v>
      </c>
      <c r="I6" s="22" t="s">
        <v>30</v>
      </c>
      <c r="J6" s="22" t="s">
        <v>31</v>
      </c>
      <c r="K6" s="22" t="s">
        <v>34</v>
      </c>
      <c r="L6" s="22" t="s">
        <v>35</v>
      </c>
      <c r="M6" s="22" t="s">
        <v>38</v>
      </c>
      <c r="N6" s="22" t="s">
        <v>43</v>
      </c>
      <c r="O6" s="50"/>
    </row>
    <row r="7" spans="1:17" ht="21" customHeight="1">
      <c r="A7" s="24"/>
      <c r="B7" s="24"/>
      <c r="C7" s="24"/>
      <c r="D7" s="24"/>
      <c r="E7" s="28">
        <v>2022</v>
      </c>
      <c r="F7" s="23">
        <v>2013</v>
      </c>
      <c r="G7" s="23">
        <v>2014</v>
      </c>
      <c r="H7" s="23">
        <v>2015</v>
      </c>
      <c r="I7" s="23">
        <v>2016</v>
      </c>
      <c r="J7" s="23">
        <v>2017</v>
      </c>
      <c r="K7" s="23">
        <v>2018</v>
      </c>
      <c r="L7" s="23">
        <v>2019</v>
      </c>
      <c r="M7" s="23">
        <v>2020</v>
      </c>
      <c r="N7" s="23">
        <v>2021</v>
      </c>
      <c r="O7" s="46"/>
    </row>
    <row r="8" spans="1:17" s="4" customForma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</row>
    <row r="9" spans="1:17" ht="35.25" customHeight="1">
      <c r="A9" s="9" t="s">
        <v>20</v>
      </c>
      <c r="B9" s="2">
        <f>SUM(B10:B21)</f>
        <v>255</v>
      </c>
      <c r="C9" s="2"/>
      <c r="D9" s="33">
        <v>1.0149999999999999</v>
      </c>
      <c r="E9" s="33">
        <v>1.04</v>
      </c>
      <c r="F9" s="33">
        <v>1.0549999999999999</v>
      </c>
      <c r="G9" s="33">
        <v>1.05</v>
      </c>
      <c r="H9" s="33">
        <v>1.0449999999999999</v>
      </c>
      <c r="I9" s="33">
        <v>1.04</v>
      </c>
      <c r="J9" s="33">
        <v>1.119</v>
      </c>
      <c r="K9" s="33">
        <v>1.04</v>
      </c>
      <c r="L9" s="33">
        <v>1.04</v>
      </c>
      <c r="M9" s="33">
        <v>1.0349999999999999</v>
      </c>
      <c r="N9" s="33">
        <v>1.04</v>
      </c>
      <c r="O9" s="3">
        <f t="shared" ref="O9" si="0">SUM(O10:O21)</f>
        <v>2367500</v>
      </c>
      <c r="Q9" s="21">
        <f>ROUND(C10*E9*F9*G9*H9*I9*J9*K9*L9*M9*N9,2)</f>
        <v>9134.4699999999993</v>
      </c>
    </row>
    <row r="10" spans="1:17" s="1" customFormat="1" ht="20.25" customHeight="1">
      <c r="A10" s="10" t="s">
        <v>0</v>
      </c>
      <c r="B10" s="12">
        <v>18</v>
      </c>
      <c r="C10" s="8">
        <f>4000*1.4</f>
        <v>5600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11">
        <f>ROUNDUP(B10*C10*$E$9*$F$9*$G$9*$H$9*$I$9*$M$9*$J$9*$K$9*$L$9*$D$9*$N$9/1000,1)*1000</f>
        <v>166900</v>
      </c>
      <c r="P10" s="1">
        <f>C10*$F$9*$G$9*$H$9*$I$9*$J$9*$K$9*$L$9*$M$9*$N$9</f>
        <v>8783.1413018702824</v>
      </c>
    </row>
    <row r="11" spans="1:17" s="1" customFormat="1" ht="20.25" customHeight="1">
      <c r="A11" s="10" t="s">
        <v>1</v>
      </c>
      <c r="B11" s="5">
        <v>8</v>
      </c>
      <c r="C11" s="8">
        <f t="shared" ref="C11:C21" si="1">4000*1.4</f>
        <v>5600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11">
        <f t="shared" ref="O11:O21" si="2">ROUNDUP(B11*C11*$E$9*$F$9*$G$9*$H$9*$I$9*$M$9*$J$9*$K$9*$L$9*$D$9*$N$9/1000,1)*1000</f>
        <v>74199.999999999985</v>
      </c>
      <c r="P11" s="1">
        <f t="shared" ref="P11:P28" si="3">C11*$E$9*$F$9*$G$9*$H$9*$I$9*$J$9*$K$9*$L$9*$M$9*$N$9</f>
        <v>9134.4669539450933</v>
      </c>
    </row>
    <row r="12" spans="1:17" s="1" customFormat="1" ht="27.6">
      <c r="A12" s="10" t="s">
        <v>2</v>
      </c>
      <c r="B12" s="5">
        <v>14</v>
      </c>
      <c r="C12" s="8">
        <f t="shared" si="1"/>
        <v>5600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1">
        <f t="shared" si="2"/>
        <v>129900</v>
      </c>
      <c r="P12" s="1">
        <f t="shared" si="3"/>
        <v>9134.4669539450933</v>
      </c>
    </row>
    <row r="13" spans="1:17" s="1" customFormat="1" ht="20.25" customHeight="1">
      <c r="A13" s="10" t="s">
        <v>3</v>
      </c>
      <c r="B13" s="5">
        <v>130</v>
      </c>
      <c r="C13" s="8">
        <f t="shared" si="1"/>
        <v>5600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11">
        <f t="shared" si="2"/>
        <v>1205300</v>
      </c>
      <c r="P13" s="1">
        <f t="shared" si="3"/>
        <v>9134.4669539450933</v>
      </c>
    </row>
    <row r="14" spans="1:17" s="1" customFormat="1" ht="27.6">
      <c r="A14" s="10" t="s">
        <v>4</v>
      </c>
      <c r="B14" s="5">
        <v>30</v>
      </c>
      <c r="C14" s="8">
        <f t="shared" si="1"/>
        <v>5600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11">
        <f t="shared" si="2"/>
        <v>278200.00000000006</v>
      </c>
      <c r="P14" s="1">
        <f t="shared" si="3"/>
        <v>9134.4669539450933</v>
      </c>
    </row>
    <row r="15" spans="1:17" s="1" customFormat="1" ht="27.6">
      <c r="A15" s="10" t="s">
        <v>5</v>
      </c>
      <c r="B15" s="5">
        <v>6</v>
      </c>
      <c r="C15" s="8">
        <f t="shared" si="1"/>
        <v>5600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11">
        <f t="shared" si="2"/>
        <v>55700</v>
      </c>
      <c r="P15" s="1">
        <f t="shared" si="3"/>
        <v>9134.4669539450933</v>
      </c>
    </row>
    <row r="16" spans="1:17" s="1" customFormat="1" ht="20.25" customHeight="1">
      <c r="A16" s="10" t="s">
        <v>6</v>
      </c>
      <c r="B16" s="5">
        <v>5</v>
      </c>
      <c r="C16" s="8">
        <f t="shared" si="1"/>
        <v>5600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11">
        <f t="shared" si="2"/>
        <v>46400</v>
      </c>
      <c r="P16" s="1">
        <f t="shared" si="3"/>
        <v>9134.4669539450933</v>
      </c>
    </row>
    <row r="17" spans="1:16" s="1" customFormat="1" ht="20.25" customHeight="1">
      <c r="A17" s="10" t="s">
        <v>7</v>
      </c>
      <c r="B17" s="5">
        <v>5</v>
      </c>
      <c r="C17" s="8">
        <f t="shared" si="1"/>
        <v>5600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11">
        <f t="shared" si="2"/>
        <v>46400</v>
      </c>
      <c r="P17" s="1">
        <f t="shared" si="3"/>
        <v>9134.4669539450933</v>
      </c>
    </row>
    <row r="18" spans="1:16" s="1" customFormat="1" ht="13.8">
      <c r="A18" s="10" t="s">
        <v>8</v>
      </c>
      <c r="B18" s="5">
        <v>1</v>
      </c>
      <c r="C18" s="8">
        <f>4000*1.8</f>
        <v>7200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11">
        <f t="shared" si="2"/>
        <v>12000</v>
      </c>
      <c r="P18" s="1">
        <f t="shared" si="3"/>
        <v>11744.314655072263</v>
      </c>
    </row>
    <row r="19" spans="1:16" s="1" customFormat="1" ht="13.8">
      <c r="A19" s="10" t="s">
        <v>9</v>
      </c>
      <c r="B19" s="5">
        <v>35</v>
      </c>
      <c r="C19" s="8">
        <f t="shared" si="1"/>
        <v>5600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11">
        <f t="shared" si="2"/>
        <v>324600</v>
      </c>
      <c r="P19" s="1">
        <f t="shared" si="3"/>
        <v>9134.4669539450933</v>
      </c>
    </row>
    <row r="20" spans="1:16" s="1" customFormat="1" ht="13.8">
      <c r="A20" s="10" t="s">
        <v>10</v>
      </c>
      <c r="B20" s="5">
        <v>1</v>
      </c>
      <c r="C20" s="8">
        <f t="shared" si="1"/>
        <v>5600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11">
        <f t="shared" si="2"/>
        <v>9299.9999999999982</v>
      </c>
      <c r="P20" s="1">
        <f t="shared" si="3"/>
        <v>9134.4669539450933</v>
      </c>
    </row>
    <row r="21" spans="1:16" s="1" customFormat="1" ht="13.8">
      <c r="A21" s="10" t="s">
        <v>11</v>
      </c>
      <c r="B21" s="5">
        <v>2</v>
      </c>
      <c r="C21" s="8">
        <f t="shared" si="1"/>
        <v>5600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11">
        <f t="shared" si="2"/>
        <v>18600</v>
      </c>
      <c r="P21" s="1">
        <f t="shared" si="3"/>
        <v>9134.4669539450933</v>
      </c>
    </row>
    <row r="22" spans="1:16" ht="15.6">
      <c r="A22" s="9" t="s">
        <v>12</v>
      </c>
      <c r="B22" s="2">
        <f>SUM(B23:B27)</f>
        <v>59</v>
      </c>
      <c r="C22" s="2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">
        <f>SUM(O23:O27)</f>
        <v>547400</v>
      </c>
      <c r="P22" s="1">
        <f t="shared" si="3"/>
        <v>0</v>
      </c>
    </row>
    <row r="23" spans="1:16" s="1" customFormat="1" ht="13.8">
      <c r="A23" s="10" t="s">
        <v>13</v>
      </c>
      <c r="B23" s="12">
        <v>21</v>
      </c>
      <c r="C23" s="8">
        <f t="shared" ref="C23:C27" si="4">4000*1.4</f>
        <v>5600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1">
        <f>ROUNDUP(B23*C23*$E$9*$F$9*$G$9*$H$9*$I$9*$M$9*$J$9*$K$9*$L$9*$D$9*$N$9/1000,1)*1000</f>
        <v>194799.99999999997</v>
      </c>
      <c r="P23" s="1">
        <f t="shared" si="3"/>
        <v>9134.4669539450933</v>
      </c>
    </row>
    <row r="24" spans="1:16" s="1" customFormat="1" ht="13.8">
      <c r="A24" s="10" t="s">
        <v>14</v>
      </c>
      <c r="B24" s="5">
        <v>14</v>
      </c>
      <c r="C24" s="8">
        <f t="shared" si="4"/>
        <v>5600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1">
        <f t="shared" ref="O24:O27" si="5">ROUNDUP(B24*C24*$E$9*$F$9*$G$9*$H$9*$I$9*$M$9*$J$9*$K$9*$L$9*$D$9*$N$9/1000,1)*1000</f>
        <v>129900</v>
      </c>
      <c r="P24" s="1">
        <f t="shared" si="3"/>
        <v>9134.4669539450933</v>
      </c>
    </row>
    <row r="25" spans="1:16" s="1" customFormat="1" ht="13.8">
      <c r="A25" s="10" t="s">
        <v>15</v>
      </c>
      <c r="B25" s="5">
        <v>3</v>
      </c>
      <c r="C25" s="8">
        <f t="shared" si="4"/>
        <v>5600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1">
        <f t="shared" si="5"/>
        <v>27900.000000000004</v>
      </c>
      <c r="P25" s="1">
        <f t="shared" si="3"/>
        <v>9134.4669539450933</v>
      </c>
    </row>
    <row r="26" spans="1:16" s="1" customFormat="1" ht="13.8">
      <c r="A26" s="10" t="s">
        <v>16</v>
      </c>
      <c r="B26" s="5">
        <v>18</v>
      </c>
      <c r="C26" s="8">
        <f t="shared" si="4"/>
        <v>5600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1">
        <f t="shared" si="5"/>
        <v>166900</v>
      </c>
      <c r="P26" s="1">
        <f t="shared" si="3"/>
        <v>9134.4669539450933</v>
      </c>
    </row>
    <row r="27" spans="1:16" s="1" customFormat="1" ht="13.8">
      <c r="A27" s="10" t="s">
        <v>17</v>
      </c>
      <c r="B27" s="5">
        <v>3</v>
      </c>
      <c r="C27" s="8">
        <f t="shared" si="4"/>
        <v>5600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1">
        <f t="shared" si="5"/>
        <v>27900.000000000004</v>
      </c>
      <c r="P27" s="1">
        <f t="shared" si="3"/>
        <v>9134.4669539450933</v>
      </c>
    </row>
    <row r="28" spans="1:16" ht="15.6">
      <c r="A28" s="9" t="s">
        <v>21</v>
      </c>
      <c r="B28" s="2">
        <f>B9+B22</f>
        <v>314</v>
      </c>
      <c r="C28" s="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">
        <f>O22+O9</f>
        <v>2914900</v>
      </c>
      <c r="P28" s="1">
        <f t="shared" si="3"/>
        <v>0</v>
      </c>
    </row>
    <row r="29" spans="1:16">
      <c r="C29">
        <v>8715.33</v>
      </c>
      <c r="O29" s="32"/>
    </row>
    <row r="30" spans="1:16">
      <c r="N30" s="29"/>
      <c r="O30" s="21"/>
    </row>
  </sheetData>
  <mergeCells count="21">
    <mergeCell ref="N9:N28"/>
    <mergeCell ref="O5:O7"/>
    <mergeCell ref="I9:I28"/>
    <mergeCell ref="J9:J28"/>
    <mergeCell ref="K9:K28"/>
    <mergeCell ref="L9:L28"/>
    <mergeCell ref="M9:M28"/>
    <mergeCell ref="D9:D28"/>
    <mergeCell ref="E9:E28"/>
    <mergeCell ref="F9:F28"/>
    <mergeCell ref="G9:G28"/>
    <mergeCell ref="H9:H28"/>
    <mergeCell ref="A2:O2"/>
    <mergeCell ref="A3:O3"/>
    <mergeCell ref="A4:O4"/>
    <mergeCell ref="A5:A6"/>
    <mergeCell ref="B5:B6"/>
    <mergeCell ref="C5:C6"/>
    <mergeCell ref="D5:D6"/>
    <mergeCell ref="E5:E6"/>
    <mergeCell ref="F5:N5"/>
  </mergeCells>
  <pageMargins left="0.7" right="0.7" top="0.75" bottom="0.75" header="0.3" footer="0.3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30"/>
  <sheetViews>
    <sheetView topLeftCell="C1" workbookViewId="0">
      <selection activeCell="A4" sqref="A4:P4"/>
    </sheetView>
  </sheetViews>
  <sheetFormatPr defaultRowHeight="14.4"/>
  <cols>
    <col min="1" max="1" width="41.88671875" customWidth="1"/>
    <col min="2" max="2" width="24.6640625" customWidth="1"/>
    <col min="3" max="3" width="18.88671875" customWidth="1"/>
    <col min="4" max="4" width="11.44140625" customWidth="1"/>
    <col min="5" max="5" width="15.88671875" customWidth="1"/>
    <col min="6" max="15" width="9.5546875" customWidth="1"/>
    <col min="16" max="16" width="22.88671875" customWidth="1"/>
    <col min="17" max="17" width="11" hidden="1" customWidth="1"/>
    <col min="18" max="18" width="11" customWidth="1"/>
  </cols>
  <sheetData>
    <row r="2" spans="1:18" ht="34.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8" ht="72" customHeight="1">
      <c r="A3" s="40" t="s">
        <v>48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8" ht="28.5" customHeight="1">
      <c r="A4" s="41" t="s">
        <v>47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8" s="4" customFormat="1" ht="98.25" customHeight="1">
      <c r="A5" s="45" t="s">
        <v>19</v>
      </c>
      <c r="B5" s="45" t="s">
        <v>23</v>
      </c>
      <c r="C5" s="45" t="s">
        <v>32</v>
      </c>
      <c r="D5" s="45" t="s">
        <v>39</v>
      </c>
      <c r="E5" s="45" t="s">
        <v>25</v>
      </c>
      <c r="F5" s="42" t="s">
        <v>24</v>
      </c>
      <c r="G5" s="43"/>
      <c r="H5" s="43"/>
      <c r="I5" s="43"/>
      <c r="J5" s="43"/>
      <c r="K5" s="43"/>
      <c r="L5" s="43"/>
      <c r="M5" s="43"/>
      <c r="N5" s="43"/>
      <c r="O5" s="44"/>
      <c r="P5" s="45" t="s">
        <v>28</v>
      </c>
    </row>
    <row r="6" spans="1:18" ht="31.5" customHeight="1">
      <c r="A6" s="46"/>
      <c r="B6" s="46"/>
      <c r="C6" s="46"/>
      <c r="D6" s="46"/>
      <c r="E6" s="46"/>
      <c r="F6" s="26" t="s">
        <v>26</v>
      </c>
      <c r="G6" s="26" t="s">
        <v>27</v>
      </c>
      <c r="H6" s="26" t="s">
        <v>29</v>
      </c>
      <c r="I6" s="26" t="s">
        <v>30</v>
      </c>
      <c r="J6" s="26" t="s">
        <v>31</v>
      </c>
      <c r="K6" s="26" t="s">
        <v>34</v>
      </c>
      <c r="L6" s="26" t="s">
        <v>35</v>
      </c>
      <c r="M6" s="26" t="s">
        <v>38</v>
      </c>
      <c r="N6" s="26" t="s">
        <v>43</v>
      </c>
      <c r="O6" s="26" t="s">
        <v>44</v>
      </c>
      <c r="P6" s="50"/>
    </row>
    <row r="7" spans="1:18" ht="21" customHeight="1">
      <c r="A7" s="27"/>
      <c r="B7" s="27"/>
      <c r="C7" s="27"/>
      <c r="D7" s="27"/>
      <c r="E7" s="28">
        <v>2023</v>
      </c>
      <c r="F7" s="26">
        <v>2013</v>
      </c>
      <c r="G7" s="26">
        <v>2014</v>
      </c>
      <c r="H7" s="26">
        <v>2015</v>
      </c>
      <c r="I7" s="26">
        <v>2016</v>
      </c>
      <c r="J7" s="26">
        <v>2017</v>
      </c>
      <c r="K7" s="26">
        <v>2018</v>
      </c>
      <c r="L7" s="26">
        <v>2019</v>
      </c>
      <c r="M7" s="26">
        <v>2020</v>
      </c>
      <c r="N7" s="26">
        <v>2021</v>
      </c>
      <c r="O7" s="26">
        <v>2022</v>
      </c>
      <c r="P7" s="46"/>
    </row>
    <row r="8" spans="1:18" s="4" customForma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</row>
    <row r="9" spans="1:18" ht="35.25" customHeight="1">
      <c r="A9" s="9" t="s">
        <v>20</v>
      </c>
      <c r="B9" s="2">
        <f>SUM(B10:B21)</f>
        <v>257</v>
      </c>
      <c r="C9" s="2"/>
      <c r="D9" s="33">
        <v>1.0149999999999999</v>
      </c>
      <c r="E9" s="33">
        <v>1.04</v>
      </c>
      <c r="F9" s="33">
        <v>1.0549999999999999</v>
      </c>
      <c r="G9" s="33">
        <v>1.05</v>
      </c>
      <c r="H9" s="33">
        <v>1.0449999999999999</v>
      </c>
      <c r="I9" s="33">
        <v>1.04</v>
      </c>
      <c r="J9" s="33">
        <v>1.119</v>
      </c>
      <c r="K9" s="33">
        <v>1.04</v>
      </c>
      <c r="L9" s="33">
        <v>1.04</v>
      </c>
      <c r="M9" s="33">
        <v>1.0349999999999999</v>
      </c>
      <c r="N9" s="33">
        <v>1.04</v>
      </c>
      <c r="O9" s="33">
        <v>1.04</v>
      </c>
      <c r="P9" s="3">
        <f t="shared" ref="P9" si="0">SUM(P10:P21)</f>
        <v>2481400</v>
      </c>
      <c r="R9" s="21">
        <f>ROUND(C10*E9*F9*G9*H9*I9*J9*K9*L9*M9*N9*O9,2)</f>
        <v>9499.85</v>
      </c>
    </row>
    <row r="10" spans="1:18" s="1" customFormat="1" ht="20.25" customHeight="1">
      <c r="A10" s="10" t="s">
        <v>0</v>
      </c>
      <c r="B10" s="12">
        <v>18</v>
      </c>
      <c r="C10" s="8">
        <f>4000*1.4</f>
        <v>5600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11">
        <f>ROUNDUP(B10*C10*$E$9*$F$9*$G$9*$H$9*$I$9*$M$9*$J$9*$K$9*$L$9*$D$9*$N$9*$O$9/1000,1)*1000</f>
        <v>173600</v>
      </c>
      <c r="Q10" s="1">
        <f>C10*$E$9*$F$9*$G$9*$H$9*$I$9*$J$9*$K$9*$L$9*$M$9*$N$9*$O$9</f>
        <v>9499.8456321028971</v>
      </c>
    </row>
    <row r="11" spans="1:18" s="1" customFormat="1" ht="20.25" customHeight="1">
      <c r="A11" s="10" t="s">
        <v>1</v>
      </c>
      <c r="B11" s="5">
        <v>8</v>
      </c>
      <c r="C11" s="8">
        <f t="shared" ref="C11:C21" si="1">4000*1.4</f>
        <v>5600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11">
        <f t="shared" ref="P11:P20" si="2">ROUNDUP(B11*C11*$E$9*$F$9*$G$9*$H$9*$I$9*$M$9*$J$9*$K$9*$L$9*$D$9*$N$9*$O$9/1000,1)*1000</f>
        <v>77199.999999999985</v>
      </c>
      <c r="Q11" s="1">
        <f t="shared" ref="Q11:Q28" si="3">C11*$E$9*$F$9*$G$9*$H$9*$I$9*$J$9*$K$9*$L$9*$M$9*$N$9</f>
        <v>9134.4669539450933</v>
      </c>
    </row>
    <row r="12" spans="1:18" s="1" customFormat="1" ht="27.6">
      <c r="A12" s="10" t="s">
        <v>2</v>
      </c>
      <c r="B12" s="5">
        <v>14</v>
      </c>
      <c r="C12" s="8">
        <f t="shared" si="1"/>
        <v>5600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11">
        <f t="shared" si="2"/>
        <v>135000</v>
      </c>
      <c r="Q12" s="1">
        <f t="shared" si="3"/>
        <v>9134.4669539450933</v>
      </c>
    </row>
    <row r="13" spans="1:18" s="1" customFormat="1" ht="20.25" customHeight="1">
      <c r="A13" s="10" t="s">
        <v>3</v>
      </c>
      <c r="B13" s="5">
        <v>130</v>
      </c>
      <c r="C13" s="8">
        <f t="shared" si="1"/>
        <v>5600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11">
        <f t="shared" si="2"/>
        <v>1253600</v>
      </c>
      <c r="Q13" s="1">
        <f t="shared" si="3"/>
        <v>9134.4669539450933</v>
      </c>
    </row>
    <row r="14" spans="1:18" s="1" customFormat="1" ht="27.6">
      <c r="A14" s="10" t="s">
        <v>4</v>
      </c>
      <c r="B14" s="5">
        <v>30</v>
      </c>
      <c r="C14" s="8">
        <f t="shared" si="1"/>
        <v>5600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11">
        <f t="shared" si="2"/>
        <v>289300</v>
      </c>
      <c r="Q14" s="1">
        <f t="shared" si="3"/>
        <v>9134.4669539450933</v>
      </c>
    </row>
    <row r="15" spans="1:18" s="1" customFormat="1" ht="27.6">
      <c r="A15" s="10" t="s">
        <v>5</v>
      </c>
      <c r="B15" s="5">
        <v>8</v>
      </c>
      <c r="C15" s="8">
        <f t="shared" si="1"/>
        <v>5600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1">
        <f t="shared" si="2"/>
        <v>77199.999999999985</v>
      </c>
      <c r="Q15" s="1">
        <f t="shared" si="3"/>
        <v>9134.4669539450933</v>
      </c>
    </row>
    <row r="16" spans="1:18" s="1" customFormat="1" ht="20.25" customHeight="1">
      <c r="A16" s="10" t="s">
        <v>6</v>
      </c>
      <c r="B16" s="5">
        <v>5</v>
      </c>
      <c r="C16" s="8">
        <f t="shared" si="1"/>
        <v>5600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11">
        <f t="shared" si="2"/>
        <v>48300.000000000007</v>
      </c>
      <c r="Q16" s="1">
        <f t="shared" si="3"/>
        <v>9134.4669539450933</v>
      </c>
    </row>
    <row r="17" spans="1:17" s="1" customFormat="1" ht="20.25" customHeight="1">
      <c r="A17" s="10" t="s">
        <v>7</v>
      </c>
      <c r="B17" s="5">
        <v>5</v>
      </c>
      <c r="C17" s="8">
        <f t="shared" si="1"/>
        <v>5600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11">
        <f t="shared" si="2"/>
        <v>48300.000000000007</v>
      </c>
      <c r="Q17" s="1">
        <f t="shared" si="3"/>
        <v>9134.4669539450933</v>
      </c>
    </row>
    <row r="18" spans="1:17" s="1" customFormat="1" ht="13.8">
      <c r="A18" s="10" t="s">
        <v>8</v>
      </c>
      <c r="B18" s="5">
        <v>1</v>
      </c>
      <c r="C18" s="8">
        <f>4000*1.8</f>
        <v>7200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11">
        <f t="shared" si="2"/>
        <v>12400</v>
      </c>
      <c r="Q18" s="1">
        <f t="shared" si="3"/>
        <v>11744.314655072263</v>
      </c>
    </row>
    <row r="19" spans="1:17" s="1" customFormat="1" ht="13.8">
      <c r="A19" s="10" t="s">
        <v>9</v>
      </c>
      <c r="B19" s="5">
        <v>35</v>
      </c>
      <c r="C19" s="8">
        <f t="shared" si="1"/>
        <v>5600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11">
        <f t="shared" si="2"/>
        <v>337500</v>
      </c>
      <c r="Q19" s="1">
        <f t="shared" si="3"/>
        <v>9134.4669539450933</v>
      </c>
    </row>
    <row r="20" spans="1:17" s="1" customFormat="1" ht="13.8">
      <c r="A20" s="10" t="s">
        <v>10</v>
      </c>
      <c r="B20" s="5">
        <v>1</v>
      </c>
      <c r="C20" s="8">
        <f t="shared" si="1"/>
        <v>5600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11">
        <f t="shared" si="2"/>
        <v>9700</v>
      </c>
      <c r="Q20" s="1">
        <f t="shared" si="3"/>
        <v>9134.4669539450933</v>
      </c>
    </row>
    <row r="21" spans="1:17" s="1" customFormat="1" ht="13.8">
      <c r="A21" s="10" t="s">
        <v>11</v>
      </c>
      <c r="B21" s="5">
        <v>2</v>
      </c>
      <c r="C21" s="8">
        <f t="shared" si="1"/>
        <v>5600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11">
        <f>ROUNDUP(B21*C21*$E$9*$F$9*$G$9*$H$9*$I$9*$M$9*$J$9*$K$9*$L$9*$D$9*$N$9*$O$9/1000,1)*1000</f>
        <v>19300</v>
      </c>
      <c r="Q21" s="1">
        <f t="shared" si="3"/>
        <v>9134.4669539450933</v>
      </c>
    </row>
    <row r="22" spans="1:17" ht="15.6">
      <c r="A22" s="9" t="s">
        <v>12</v>
      </c>
      <c r="B22" s="2">
        <f>SUM(B23:B27)</f>
        <v>59</v>
      </c>
      <c r="C22" s="2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">
        <f>SUM(P23:P27)</f>
        <v>569100</v>
      </c>
      <c r="Q22" s="1">
        <f t="shared" si="3"/>
        <v>0</v>
      </c>
    </row>
    <row r="23" spans="1:17" s="1" customFormat="1" ht="13.8">
      <c r="A23" s="10" t="s">
        <v>13</v>
      </c>
      <c r="B23" s="12">
        <v>21</v>
      </c>
      <c r="C23" s="8">
        <f t="shared" ref="C23:C27" si="4">4000*1.4</f>
        <v>5600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11">
        <f t="shared" ref="P23:P27" si="5">ROUNDUP(B23*C23*$E$9*$F$9*$G$9*$H$9*$I$9*$M$9*$J$9*$K$9*$L$9*$D$9*$N$9*$O$9/1000,1)*1000</f>
        <v>202500</v>
      </c>
      <c r="Q23" s="1">
        <f t="shared" si="3"/>
        <v>9134.4669539450933</v>
      </c>
    </row>
    <row r="24" spans="1:17" s="1" customFormat="1" ht="13.8">
      <c r="A24" s="10" t="s">
        <v>14</v>
      </c>
      <c r="B24" s="5">
        <v>14</v>
      </c>
      <c r="C24" s="8">
        <f t="shared" si="4"/>
        <v>5600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11">
        <f t="shared" si="5"/>
        <v>135000</v>
      </c>
      <c r="Q24" s="1">
        <f t="shared" si="3"/>
        <v>9134.4669539450933</v>
      </c>
    </row>
    <row r="25" spans="1:17" s="1" customFormat="1" ht="13.8">
      <c r="A25" s="10" t="s">
        <v>15</v>
      </c>
      <c r="B25" s="5">
        <v>3</v>
      </c>
      <c r="C25" s="8">
        <f t="shared" si="4"/>
        <v>5600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11">
        <f t="shared" si="5"/>
        <v>29000</v>
      </c>
      <c r="Q25" s="1">
        <f t="shared" si="3"/>
        <v>9134.4669539450933</v>
      </c>
    </row>
    <row r="26" spans="1:17" s="1" customFormat="1" ht="13.8">
      <c r="A26" s="10" t="s">
        <v>16</v>
      </c>
      <c r="B26" s="5">
        <v>18</v>
      </c>
      <c r="C26" s="8">
        <f t="shared" si="4"/>
        <v>5600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11">
        <f t="shared" si="5"/>
        <v>173600</v>
      </c>
      <c r="Q26" s="1">
        <f t="shared" si="3"/>
        <v>9134.4669539450933</v>
      </c>
    </row>
    <row r="27" spans="1:17" s="1" customFormat="1" ht="13.8">
      <c r="A27" s="10" t="s">
        <v>17</v>
      </c>
      <c r="B27" s="5">
        <v>3</v>
      </c>
      <c r="C27" s="8">
        <f t="shared" si="4"/>
        <v>5600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11">
        <f t="shared" si="5"/>
        <v>29000</v>
      </c>
      <c r="Q27" s="1">
        <f t="shared" si="3"/>
        <v>9134.4669539450933</v>
      </c>
    </row>
    <row r="28" spans="1:17" ht="15.6">
      <c r="A28" s="9" t="s">
        <v>21</v>
      </c>
      <c r="B28" s="2">
        <f>B9+B22</f>
        <v>316</v>
      </c>
      <c r="C28" s="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">
        <f>P22+P9</f>
        <v>3050500</v>
      </c>
      <c r="Q28" s="1">
        <f t="shared" si="3"/>
        <v>0</v>
      </c>
    </row>
    <row r="29" spans="1:17">
      <c r="P29" s="32"/>
    </row>
    <row r="30" spans="1:17">
      <c r="O30" s="29"/>
      <c r="P30" s="21"/>
    </row>
  </sheetData>
  <mergeCells count="22">
    <mergeCell ref="O9:O28"/>
    <mergeCell ref="I9:I28"/>
    <mergeCell ref="J9:J28"/>
    <mergeCell ref="K9:K28"/>
    <mergeCell ref="L9:L28"/>
    <mergeCell ref="M9:M28"/>
    <mergeCell ref="N9:N28"/>
    <mergeCell ref="D9:D28"/>
    <mergeCell ref="E9:E28"/>
    <mergeCell ref="F9:F28"/>
    <mergeCell ref="G9:G28"/>
    <mergeCell ref="H9:H28"/>
    <mergeCell ref="A2:P2"/>
    <mergeCell ref="A3:P3"/>
    <mergeCell ref="A4:P4"/>
    <mergeCell ref="A5:A6"/>
    <mergeCell ref="B5:B6"/>
    <mergeCell ref="C5:C6"/>
    <mergeCell ref="D5:D6"/>
    <mergeCell ref="E5:E6"/>
    <mergeCell ref="P5:P7"/>
    <mergeCell ref="F5:O5"/>
  </mergeCells>
  <pageMargins left="0.19" right="0.17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30"/>
  <sheetViews>
    <sheetView topLeftCell="C13" zoomScaleNormal="100" workbookViewId="0">
      <selection activeCell="E5" sqref="E5:E6"/>
    </sheetView>
  </sheetViews>
  <sheetFormatPr defaultRowHeight="14.4"/>
  <cols>
    <col min="1" max="1" width="41.88671875" customWidth="1"/>
    <col min="2" max="2" width="24.6640625" customWidth="1"/>
    <col min="3" max="4" width="18.88671875" customWidth="1"/>
    <col min="5" max="5" width="18.6640625" customWidth="1"/>
    <col min="6" max="16" width="9.5546875" customWidth="1"/>
    <col min="17" max="17" width="22.88671875" customWidth="1"/>
    <col min="18" max="18" width="9.77734375" customWidth="1"/>
  </cols>
  <sheetData>
    <row r="2" spans="1:18" ht="34.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8" ht="72" customHeight="1">
      <c r="A3" s="51" t="s">
        <v>45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8" ht="28.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Q4" t="s">
        <v>47</v>
      </c>
    </row>
    <row r="5" spans="1:18" s="4" customFormat="1" ht="98.25" customHeight="1">
      <c r="A5" s="45" t="s">
        <v>19</v>
      </c>
      <c r="B5" s="45" t="s">
        <v>23</v>
      </c>
      <c r="C5" s="45" t="s">
        <v>32</v>
      </c>
      <c r="D5" s="45" t="s">
        <v>39</v>
      </c>
      <c r="E5" s="45" t="s">
        <v>25</v>
      </c>
      <c r="F5" s="52" t="s">
        <v>24</v>
      </c>
      <c r="G5" s="53"/>
      <c r="H5" s="53"/>
      <c r="I5" s="53"/>
      <c r="J5" s="53"/>
      <c r="K5" s="53"/>
      <c r="L5" s="53"/>
      <c r="M5" s="53"/>
      <c r="N5" s="53"/>
      <c r="O5" s="53"/>
      <c r="P5" s="54"/>
      <c r="Q5" s="45" t="s">
        <v>28</v>
      </c>
    </row>
    <row r="6" spans="1:18" ht="21" customHeight="1">
      <c r="A6" s="46"/>
      <c r="B6" s="46"/>
      <c r="C6" s="46"/>
      <c r="D6" s="46"/>
      <c r="E6" s="46"/>
      <c r="F6" s="30" t="s">
        <v>26</v>
      </c>
      <c r="G6" s="30" t="s">
        <v>27</v>
      </c>
      <c r="H6" s="30" t="s">
        <v>29</v>
      </c>
      <c r="I6" s="30" t="s">
        <v>30</v>
      </c>
      <c r="J6" s="30" t="s">
        <v>31</v>
      </c>
      <c r="K6" s="30" t="s">
        <v>34</v>
      </c>
      <c r="L6" s="30" t="s">
        <v>35</v>
      </c>
      <c r="M6" s="30" t="s">
        <v>38</v>
      </c>
      <c r="N6" s="30" t="s">
        <v>43</v>
      </c>
      <c r="O6" s="30" t="s">
        <v>44</v>
      </c>
      <c r="P6" s="30" t="s">
        <v>46</v>
      </c>
      <c r="Q6" s="50"/>
    </row>
    <row r="7" spans="1:18" ht="21" customHeight="1">
      <c r="A7" s="24"/>
      <c r="B7" s="24"/>
      <c r="C7" s="24"/>
      <c r="D7" s="24"/>
      <c r="E7" s="28">
        <v>2024</v>
      </c>
      <c r="F7" s="30">
        <v>2013</v>
      </c>
      <c r="G7" s="30">
        <v>2014</v>
      </c>
      <c r="H7" s="30">
        <v>2015</v>
      </c>
      <c r="I7" s="30">
        <v>2016</v>
      </c>
      <c r="J7" s="30">
        <v>2017</v>
      </c>
      <c r="K7" s="30">
        <v>2018</v>
      </c>
      <c r="L7" s="30">
        <v>2019</v>
      </c>
      <c r="M7" s="30">
        <v>2020</v>
      </c>
      <c r="N7" s="30">
        <v>2021</v>
      </c>
      <c r="O7" s="30">
        <v>2022</v>
      </c>
      <c r="P7" s="30">
        <v>2023</v>
      </c>
      <c r="Q7" s="46"/>
    </row>
    <row r="8" spans="1:18" s="4" customForma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</row>
    <row r="9" spans="1:18" ht="35.25" customHeight="1">
      <c r="A9" s="9" t="s">
        <v>20</v>
      </c>
      <c r="B9" s="2">
        <f>SUM(B10:B21)</f>
        <v>261</v>
      </c>
      <c r="C9" s="2"/>
      <c r="D9" s="33">
        <v>1.0149999999999999</v>
      </c>
      <c r="E9" s="33">
        <v>1.04</v>
      </c>
      <c r="F9" s="33">
        <v>1.0549999999999999</v>
      </c>
      <c r="G9" s="33">
        <v>1.05</v>
      </c>
      <c r="H9" s="33">
        <v>1.0449999999999999</v>
      </c>
      <c r="I9" s="33">
        <v>1.04</v>
      </c>
      <c r="J9" s="33">
        <v>1.119</v>
      </c>
      <c r="K9" s="33">
        <v>1.04</v>
      </c>
      <c r="L9" s="33">
        <v>1.04</v>
      </c>
      <c r="M9" s="33">
        <v>1.0349999999999999</v>
      </c>
      <c r="N9" s="33">
        <v>1.04</v>
      </c>
      <c r="O9" s="33">
        <v>1.04</v>
      </c>
      <c r="P9" s="33">
        <v>1.04</v>
      </c>
      <c r="Q9" s="3">
        <f>SUM(Q10:Q21)</f>
        <v>2620700</v>
      </c>
      <c r="R9" s="21">
        <f>ROUND(C10*E9*F9*G9*H9*I9*J9*K9*L9*M9*N9*O9*P9,2)</f>
        <v>9879.84</v>
      </c>
    </row>
    <row r="10" spans="1:18" s="1" customFormat="1" ht="20.25" customHeight="1">
      <c r="A10" s="10" t="s">
        <v>0</v>
      </c>
      <c r="B10" s="17">
        <v>18</v>
      </c>
      <c r="C10" s="8">
        <f>4000*1.4</f>
        <v>5600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11">
        <f>ROUNDUP(B10*C10*$E$9*$F$9*$G$9*$H$9*$I$9*$M$9*$J$9*$K$9*$L$9*$D$9*$N$9*$O$9*$P$9/1000,1)*1000</f>
        <v>180600</v>
      </c>
    </row>
    <row r="11" spans="1:18" s="1" customFormat="1" ht="20.25" customHeight="1">
      <c r="A11" s="10" t="s">
        <v>1</v>
      </c>
      <c r="B11" s="5">
        <v>8</v>
      </c>
      <c r="C11" s="8">
        <f t="shared" ref="C11:C21" si="0">4000*1.4</f>
        <v>5600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11">
        <f t="shared" ref="Q11:Q21" si="1">ROUNDUP(B11*C11*$E$9*$F$9*$G$9*$H$9*$I$9*$M$9*$J$9*$K$9*$L$9*$D$9*$N$9*$O$9*$P$9/1000,1)*1000</f>
        <v>80300</v>
      </c>
    </row>
    <row r="12" spans="1:18" s="1" customFormat="1" ht="27.6">
      <c r="A12" s="10" t="s">
        <v>2</v>
      </c>
      <c r="B12" s="16">
        <v>14</v>
      </c>
      <c r="C12" s="8">
        <f t="shared" si="0"/>
        <v>5600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11">
        <f t="shared" si="1"/>
        <v>140400</v>
      </c>
    </row>
    <row r="13" spans="1:18" s="1" customFormat="1" ht="20.25" customHeight="1">
      <c r="A13" s="10" t="s">
        <v>3</v>
      </c>
      <c r="B13" s="16">
        <v>130</v>
      </c>
      <c r="C13" s="8">
        <f t="shared" si="0"/>
        <v>5600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11">
        <f t="shared" si="1"/>
        <v>1303699.9999999998</v>
      </c>
    </row>
    <row r="14" spans="1:18" s="1" customFormat="1" ht="27.6">
      <c r="A14" s="10" t="s">
        <v>4</v>
      </c>
      <c r="B14" s="5">
        <v>32</v>
      </c>
      <c r="C14" s="8">
        <f t="shared" si="0"/>
        <v>5600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11">
        <f t="shared" si="1"/>
        <v>320900.00000000006</v>
      </c>
    </row>
    <row r="15" spans="1:18" s="1" customFormat="1" ht="27.6">
      <c r="A15" s="10" t="s">
        <v>5</v>
      </c>
      <c r="B15" s="16">
        <v>10</v>
      </c>
      <c r="C15" s="8">
        <f t="shared" si="0"/>
        <v>5600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11">
        <f t="shared" si="1"/>
        <v>100300</v>
      </c>
    </row>
    <row r="16" spans="1:18" s="1" customFormat="1" ht="20.25" customHeight="1">
      <c r="A16" s="10" t="s">
        <v>6</v>
      </c>
      <c r="B16" s="5">
        <v>5</v>
      </c>
      <c r="C16" s="8">
        <f t="shared" si="0"/>
        <v>5600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11">
        <f t="shared" si="1"/>
        <v>50200</v>
      </c>
    </row>
    <row r="17" spans="1:17" s="1" customFormat="1" ht="20.25" customHeight="1">
      <c r="A17" s="10" t="s">
        <v>7</v>
      </c>
      <c r="B17" s="5">
        <v>5</v>
      </c>
      <c r="C17" s="8">
        <f t="shared" si="0"/>
        <v>5600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11">
        <f t="shared" si="1"/>
        <v>50200</v>
      </c>
    </row>
    <row r="18" spans="1:17" s="1" customFormat="1" ht="20.25" customHeight="1">
      <c r="A18" s="10" t="s">
        <v>8</v>
      </c>
      <c r="B18" s="16">
        <v>1</v>
      </c>
      <c r="C18" s="8">
        <f>4000*1.8</f>
        <v>7200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11">
        <f t="shared" si="1"/>
        <v>12900</v>
      </c>
    </row>
    <row r="19" spans="1:17" s="1" customFormat="1" ht="20.25" customHeight="1">
      <c r="A19" s="10" t="s">
        <v>9</v>
      </c>
      <c r="B19" s="5">
        <v>35</v>
      </c>
      <c r="C19" s="8">
        <f t="shared" si="0"/>
        <v>5600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11">
        <f t="shared" si="1"/>
        <v>351000</v>
      </c>
    </row>
    <row r="20" spans="1:17" s="1" customFormat="1" ht="20.25" customHeight="1">
      <c r="A20" s="10" t="s">
        <v>10</v>
      </c>
      <c r="B20" s="5">
        <v>1</v>
      </c>
      <c r="C20" s="8">
        <f t="shared" si="0"/>
        <v>5600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11">
        <f t="shared" si="1"/>
        <v>10100</v>
      </c>
    </row>
    <row r="21" spans="1:17" s="1" customFormat="1" ht="20.25" customHeight="1">
      <c r="A21" s="10" t="s">
        <v>11</v>
      </c>
      <c r="B21" s="16">
        <v>2</v>
      </c>
      <c r="C21" s="8">
        <f t="shared" si="0"/>
        <v>5600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11">
        <f t="shared" si="1"/>
        <v>20100</v>
      </c>
    </row>
    <row r="22" spans="1:17" ht="26.25" customHeight="1">
      <c r="A22" s="9" t="s">
        <v>12</v>
      </c>
      <c r="B22" s="2">
        <f>SUM(B23:B27)</f>
        <v>59</v>
      </c>
      <c r="C22" s="2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">
        <f>SUM(Q23:Q27)</f>
        <v>591800</v>
      </c>
    </row>
    <row r="23" spans="1:17" s="1" customFormat="1" ht="20.25" customHeight="1">
      <c r="A23" s="10" t="s">
        <v>13</v>
      </c>
      <c r="B23" s="17">
        <v>21</v>
      </c>
      <c r="C23" s="8">
        <f t="shared" ref="C23:C27" si="2">4000*1.4</f>
        <v>5600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11">
        <f>ROUNDUP(B23*C23*$E$9*$F$9*$G$9*$H$9*$I$9*$M$9*$J$9*$K$9*$L$9*$D$9*$N$9*$O$9*$P$9/1000,1)*1000</f>
        <v>210600</v>
      </c>
    </row>
    <row r="24" spans="1:17" s="1" customFormat="1" ht="20.25" customHeight="1">
      <c r="A24" s="10" t="s">
        <v>14</v>
      </c>
      <c r="B24" s="5">
        <v>14</v>
      </c>
      <c r="C24" s="8">
        <f t="shared" si="2"/>
        <v>5600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11">
        <f t="shared" ref="Q24:Q27" si="3">ROUNDUP(B24*C24*$E$9*$F$9*$G$9*$H$9*$I$9*$M$9*$J$9*$K$9*$L$9*$D$9*$N$9*$O$9*$P$9/1000,1)*1000</f>
        <v>140400</v>
      </c>
    </row>
    <row r="25" spans="1:17" s="1" customFormat="1" ht="20.25" customHeight="1">
      <c r="A25" s="10" t="s">
        <v>15</v>
      </c>
      <c r="B25" s="16">
        <v>3</v>
      </c>
      <c r="C25" s="8">
        <f t="shared" si="2"/>
        <v>5600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11">
        <f t="shared" si="3"/>
        <v>30100</v>
      </c>
    </row>
    <row r="26" spans="1:17" s="1" customFormat="1" ht="20.25" customHeight="1">
      <c r="A26" s="10" t="s">
        <v>16</v>
      </c>
      <c r="B26" s="5">
        <v>18</v>
      </c>
      <c r="C26" s="8">
        <f t="shared" si="2"/>
        <v>5600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11">
        <f t="shared" si="3"/>
        <v>180600</v>
      </c>
    </row>
    <row r="27" spans="1:17" s="1" customFormat="1" ht="20.25" customHeight="1">
      <c r="A27" s="10" t="s">
        <v>17</v>
      </c>
      <c r="B27" s="5">
        <v>3</v>
      </c>
      <c r="C27" s="8">
        <f t="shared" si="2"/>
        <v>5600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11">
        <f t="shared" si="3"/>
        <v>30100</v>
      </c>
    </row>
    <row r="28" spans="1:17" ht="29.25" customHeight="1">
      <c r="A28" s="9" t="s">
        <v>21</v>
      </c>
      <c r="B28" s="2">
        <f>B9+B22</f>
        <v>320</v>
      </c>
      <c r="C28" s="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">
        <f>Q22+Q9</f>
        <v>3212500</v>
      </c>
    </row>
    <row r="29" spans="1:17">
      <c r="Q29" s="32"/>
    </row>
    <row r="30" spans="1:17">
      <c r="O30" s="31"/>
      <c r="P30" s="31"/>
      <c r="Q30" s="21"/>
    </row>
  </sheetData>
  <autoFilter ref="A8:O28"/>
  <mergeCells count="23">
    <mergeCell ref="M9:M28"/>
    <mergeCell ref="N9:N28"/>
    <mergeCell ref="O9:O28"/>
    <mergeCell ref="F5:P5"/>
    <mergeCell ref="P9:P28"/>
    <mergeCell ref="A2:M2"/>
    <mergeCell ref="A4:M4"/>
    <mergeCell ref="A5:A6"/>
    <mergeCell ref="B5:B6"/>
    <mergeCell ref="C5:C6"/>
    <mergeCell ref="E5:E6"/>
    <mergeCell ref="D5:D6"/>
    <mergeCell ref="A3:Q3"/>
    <mergeCell ref="Q5:Q7"/>
    <mergeCell ref="D9:D28"/>
    <mergeCell ref="L9:L28"/>
    <mergeCell ref="K9:K28"/>
    <mergeCell ref="E9:E28"/>
    <mergeCell ref="F9:F28"/>
    <mergeCell ref="G9:G28"/>
    <mergeCell ref="H9:H28"/>
    <mergeCell ref="I9:I28"/>
    <mergeCell ref="J9:J28"/>
  </mergeCell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2018</vt:lpstr>
      <vt:lpstr>2019</vt:lpstr>
      <vt:lpstr>2022</vt:lpstr>
      <vt:lpstr>2023</vt:lpstr>
      <vt:lpstr>2024</vt:lpstr>
      <vt:lpstr>'2018'!Область_печати</vt:lpstr>
      <vt:lpstr>'2019'!Область_печати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Киркин</dc:creator>
  <cp:lastModifiedBy>Киркин В.В.</cp:lastModifiedBy>
  <cp:lastPrinted>2021-08-30T11:04:10Z</cp:lastPrinted>
  <dcterms:created xsi:type="dcterms:W3CDTF">2018-03-30T13:22:47Z</dcterms:created>
  <dcterms:modified xsi:type="dcterms:W3CDTF">2021-09-28T09:05:50Z</dcterms:modified>
</cp:coreProperties>
</file>