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720" windowWidth="17496" windowHeight="11016" firstSheet="3" activeTab="3"/>
  </bookViews>
  <sheets>
    <sheet name="2018" sheetId="2" state="hidden" r:id="rId1"/>
    <sheet name="2019" sheetId="4" state="hidden" r:id="rId2"/>
    <sheet name="2020" sheetId="5" state="hidden" r:id="rId3"/>
    <sheet name="2021" sheetId="6" r:id="rId4"/>
    <sheet name="2022" sheetId="3" r:id="rId5"/>
    <sheet name="2023" sheetId="7" r:id="rId6"/>
    <sheet name="Лист1" sheetId="1" state="hidden" r:id="rId7"/>
  </sheets>
  <definedNames>
    <definedName name="_xlnm._FilterDatabase" localSheetId="1" hidden="1">'2019'!$A$6:$N$26</definedName>
    <definedName name="_xlnm._FilterDatabase" localSheetId="2" hidden="1">'2020'!$A$8:$O$28</definedName>
    <definedName name="_xlnm._FilterDatabase" localSheetId="3" hidden="1">'2021'!$A$8:$N$28</definedName>
    <definedName name="_xlnm.Print_Area" localSheetId="0">'2018'!$A$1:$K$29</definedName>
    <definedName name="_xlnm.Print_Area" localSheetId="1">'2019'!$A$1:$N$26</definedName>
    <definedName name="_xlnm.Print_Area" localSheetId="3">'2021'!$A$1:$N$32</definedName>
  </definedNames>
  <calcPr calcId="125725"/>
</workbook>
</file>

<file path=xl/calcChain.xml><?xml version="1.0" encoding="utf-8"?>
<calcChain xmlns="http://schemas.openxmlformats.org/spreadsheetml/2006/main">
  <c r="Q28" i="7"/>
  <c r="C27"/>
  <c r="C26"/>
  <c r="P26" s="1"/>
  <c r="C25"/>
  <c r="P25" s="1"/>
  <c r="C24"/>
  <c r="P24" s="1"/>
  <c r="C23"/>
  <c r="Q22"/>
  <c r="B22"/>
  <c r="C21"/>
  <c r="P21" s="1"/>
  <c r="C20"/>
  <c r="P20" s="1"/>
  <c r="C19"/>
  <c r="C18"/>
  <c r="P18" s="1"/>
  <c r="C17"/>
  <c r="P17" s="1"/>
  <c r="C16"/>
  <c r="P16" s="1"/>
  <c r="C15"/>
  <c r="C14"/>
  <c r="P14" s="1"/>
  <c r="C13"/>
  <c r="P13" s="1"/>
  <c r="C12"/>
  <c r="P12" s="1"/>
  <c r="C11"/>
  <c r="C10"/>
  <c r="B9"/>
  <c r="Q13" l="1"/>
  <c r="Q16"/>
  <c r="Q25"/>
  <c r="Q24"/>
  <c r="Q21"/>
  <c r="Q27"/>
  <c r="P27"/>
  <c r="Q11"/>
  <c r="P11"/>
  <c r="Q19"/>
  <c r="P19"/>
  <c r="P10"/>
  <c r="Q10"/>
  <c r="Q23"/>
  <c r="P23"/>
  <c r="Q15"/>
  <c r="P15"/>
  <c r="B28"/>
  <c r="Q12"/>
  <c r="Q17"/>
  <c r="Q20"/>
  <c r="Q26"/>
  <c r="Q14"/>
  <c r="Q18"/>
  <c r="P22" i="3"/>
  <c r="P28"/>
  <c r="C27"/>
  <c r="P27" s="1"/>
  <c r="C26"/>
  <c r="O26" s="1"/>
  <c r="C25"/>
  <c r="O25" s="1"/>
  <c r="C24"/>
  <c r="O24" s="1"/>
  <c r="C23"/>
  <c r="O23" s="1"/>
  <c r="B22"/>
  <c r="C21"/>
  <c r="O21" s="1"/>
  <c r="C20"/>
  <c r="O20" s="1"/>
  <c r="C19"/>
  <c r="O19" s="1"/>
  <c r="C18"/>
  <c r="O18" s="1"/>
  <c r="C17"/>
  <c r="O17" s="1"/>
  <c r="C16"/>
  <c r="O16" s="1"/>
  <c r="C15"/>
  <c r="O15" s="1"/>
  <c r="C14"/>
  <c r="O14" s="1"/>
  <c r="C13"/>
  <c r="O13" s="1"/>
  <c r="C12"/>
  <c r="O12" s="1"/>
  <c r="C11"/>
  <c r="O11" s="1"/>
  <c r="C10"/>
  <c r="B9"/>
  <c r="M20" i="4"/>
  <c r="M7"/>
  <c r="P22" i="7" l="1"/>
  <c r="O27" i="3"/>
  <c r="O22" s="1"/>
  <c r="P9" i="7"/>
  <c r="P19" i="3"/>
  <c r="P23"/>
  <c r="P11"/>
  <c r="P15"/>
  <c r="O10"/>
  <c r="O9" s="1"/>
  <c r="P10"/>
  <c r="P24"/>
  <c r="P20"/>
  <c r="P16"/>
  <c r="P12"/>
  <c r="P25"/>
  <c r="P21"/>
  <c r="P17"/>
  <c r="P13"/>
  <c r="P26"/>
  <c r="P18"/>
  <c r="P14"/>
  <c r="B28"/>
  <c r="M26" i="4"/>
  <c r="P28" i="7" l="1"/>
  <c r="O28" i="3"/>
  <c r="B22" i="6" l="1"/>
  <c r="B9"/>
  <c r="C27"/>
  <c r="N27" s="1"/>
  <c r="C26"/>
  <c r="N26" s="1"/>
  <c r="C25"/>
  <c r="N25" s="1"/>
  <c r="C24"/>
  <c r="N24" s="1"/>
  <c r="C23"/>
  <c r="N23" s="1"/>
  <c r="C21"/>
  <c r="N21" s="1"/>
  <c r="C20"/>
  <c r="N20" s="1"/>
  <c r="C19"/>
  <c r="N19" s="1"/>
  <c r="C18"/>
  <c r="N18" s="1"/>
  <c r="C17"/>
  <c r="N17" s="1"/>
  <c r="C16"/>
  <c r="N16" s="1"/>
  <c r="C15"/>
  <c r="N15" s="1"/>
  <c r="C14"/>
  <c r="N14" s="1"/>
  <c r="C13"/>
  <c r="N13" s="1"/>
  <c r="C12"/>
  <c r="N12" s="1"/>
  <c r="C11"/>
  <c r="N11" s="1"/>
  <c r="C10"/>
  <c r="N10" s="1"/>
  <c r="B20" i="4"/>
  <c r="B7"/>
  <c r="B28" i="6" l="1"/>
  <c r="N9"/>
  <c r="N22"/>
  <c r="B26" i="4"/>
  <c r="N28" i="6" l="1"/>
  <c r="C27" i="5"/>
  <c r="M27" s="1"/>
  <c r="C26"/>
  <c r="M26" s="1"/>
  <c r="C25"/>
  <c r="M25" s="1"/>
  <c r="C24"/>
  <c r="M24" s="1"/>
  <c r="C23"/>
  <c r="M23" s="1"/>
  <c r="C21"/>
  <c r="M21" s="1"/>
  <c r="C20"/>
  <c r="M20" s="1"/>
  <c r="C19"/>
  <c r="M19" s="1"/>
  <c r="C18"/>
  <c r="M18" s="1"/>
  <c r="C17"/>
  <c r="M17" s="1"/>
  <c r="C16"/>
  <c r="M16" s="1"/>
  <c r="C15"/>
  <c r="M15" s="1"/>
  <c r="C14"/>
  <c r="M14" s="1"/>
  <c r="C13"/>
  <c r="M13" s="1"/>
  <c r="C12"/>
  <c r="M12" s="1"/>
  <c r="C11"/>
  <c r="M11" s="1"/>
  <c r="C10"/>
  <c r="M10" l="1"/>
  <c r="M9" s="1"/>
  <c r="N10"/>
  <c r="M22"/>
  <c r="M28" l="1"/>
  <c r="M31" s="1"/>
  <c r="C25" i="4" l="1"/>
  <c r="L25" s="1"/>
  <c r="N25" s="1"/>
  <c r="C24"/>
  <c r="L24" s="1"/>
  <c r="N24" s="1"/>
  <c r="C23"/>
  <c r="L23" s="1"/>
  <c r="N23" s="1"/>
  <c r="C22"/>
  <c r="L22" s="1"/>
  <c r="N22" s="1"/>
  <c r="C21"/>
  <c r="L21" s="1"/>
  <c r="N21" s="1"/>
  <c r="C19"/>
  <c r="L19" s="1"/>
  <c r="N19" s="1"/>
  <c r="C18"/>
  <c r="L18" s="1"/>
  <c r="N18" s="1"/>
  <c r="C17"/>
  <c r="L17" s="1"/>
  <c r="N17" s="1"/>
  <c r="C16"/>
  <c r="L16" s="1"/>
  <c r="N16" s="1"/>
  <c r="C15"/>
  <c r="L15" s="1"/>
  <c r="N15" s="1"/>
  <c r="C14"/>
  <c r="L14" s="1"/>
  <c r="N14" s="1"/>
  <c r="C13"/>
  <c r="L13" s="1"/>
  <c r="N13" s="1"/>
  <c r="C12"/>
  <c r="L12" s="1"/>
  <c r="N12" s="1"/>
  <c r="C11"/>
  <c r="L11" s="1"/>
  <c r="N11" s="1"/>
  <c r="C10"/>
  <c r="L10" s="1"/>
  <c r="N10" s="1"/>
  <c r="C9"/>
  <c r="L9" s="1"/>
  <c r="N9" s="1"/>
  <c r="C8"/>
  <c r="C16" i="2"/>
  <c r="K16" s="1"/>
  <c r="C25"/>
  <c r="K25" s="1"/>
  <c r="C24"/>
  <c r="K24" s="1"/>
  <c r="C23"/>
  <c r="K23" s="1"/>
  <c r="C22"/>
  <c r="K22" s="1"/>
  <c r="C21"/>
  <c r="K21" s="1"/>
  <c r="C19"/>
  <c r="K19" s="1"/>
  <c r="C18"/>
  <c r="K18" s="1"/>
  <c r="C17"/>
  <c r="K17" s="1"/>
  <c r="C9"/>
  <c r="K9" s="1"/>
  <c r="C10"/>
  <c r="K10" s="1"/>
  <c r="C11"/>
  <c r="K11" s="1"/>
  <c r="C12"/>
  <c r="K12" s="1"/>
  <c r="C13"/>
  <c r="K13" s="1"/>
  <c r="C14"/>
  <c r="K14" s="1"/>
  <c r="C15"/>
  <c r="K15" s="1"/>
  <c r="C8"/>
  <c r="B20"/>
  <c r="B7"/>
  <c r="L8" i="4" l="1"/>
  <c r="N8" s="1"/>
  <c r="N7" s="1"/>
  <c r="O8"/>
  <c r="K8" i="2"/>
  <c r="K7" s="1"/>
  <c r="L8"/>
  <c r="N20" i="4"/>
  <c r="L20"/>
  <c r="K20" i="2"/>
  <c r="B26"/>
  <c r="N26" i="4" l="1"/>
  <c r="L7"/>
  <c r="L26" s="1"/>
  <c r="K26" i="2"/>
  <c r="B11" i="1"/>
  <c r="E11" l="1"/>
  <c r="F11" s="1"/>
  <c r="E29"/>
  <c r="F29" s="1"/>
  <c r="G29" s="1"/>
  <c r="E28"/>
  <c r="F28" s="1"/>
  <c r="G28" s="1"/>
  <c r="E27"/>
  <c r="F27" s="1"/>
  <c r="G27" s="1"/>
  <c r="E26"/>
  <c r="E25"/>
  <c r="F25" s="1"/>
  <c r="G25" s="1"/>
  <c r="E12"/>
  <c r="F12" s="1"/>
  <c r="G12" s="1"/>
  <c r="E13"/>
  <c r="F13" s="1"/>
  <c r="G13" s="1"/>
  <c r="E14"/>
  <c r="F14" s="1"/>
  <c r="G14" s="1"/>
  <c r="E15"/>
  <c r="F15" s="1"/>
  <c r="G15" s="1"/>
  <c r="E16"/>
  <c r="F16" s="1"/>
  <c r="G16" s="1"/>
  <c r="E17"/>
  <c r="F17" s="1"/>
  <c r="G17" s="1"/>
  <c r="E18"/>
  <c r="F18" s="1"/>
  <c r="G18" s="1"/>
  <c r="E19"/>
  <c r="F19" s="1"/>
  <c r="G19" s="1"/>
  <c r="E20"/>
  <c r="F20" s="1"/>
  <c r="G20" s="1"/>
  <c r="E21"/>
  <c r="F21" s="1"/>
  <c r="G21" s="1"/>
  <c r="E22"/>
  <c r="F22" s="1"/>
  <c r="G22" s="1"/>
  <c r="D29"/>
  <c r="D28"/>
  <c r="D27"/>
  <c r="D26"/>
  <c r="D25"/>
  <c r="D12"/>
  <c r="D13"/>
  <c r="D14"/>
  <c r="D15"/>
  <c r="D16"/>
  <c r="D17"/>
  <c r="D18"/>
  <c r="D19"/>
  <c r="D20"/>
  <c r="D21"/>
  <c r="D22"/>
  <c r="D11"/>
  <c r="B23"/>
  <c r="B9"/>
  <c r="E23" l="1"/>
  <c r="D9"/>
  <c r="F9"/>
  <c r="G11"/>
  <c r="G9" s="1"/>
  <c r="B30"/>
  <c r="F26"/>
  <c r="D23"/>
  <c r="E9"/>
  <c r="D30" l="1"/>
  <c r="E30"/>
  <c r="E33" s="1"/>
  <c r="F33" s="1"/>
  <c r="G26"/>
  <c r="G23" s="1"/>
  <c r="G30" s="1"/>
  <c r="F23"/>
  <c r="F30" s="1"/>
</calcChain>
</file>

<file path=xl/sharedStrings.xml><?xml version="1.0" encoding="utf-8"?>
<sst xmlns="http://schemas.openxmlformats.org/spreadsheetml/2006/main" count="255" uniqueCount="61">
  <si>
    <t>Городские округа - итого</t>
  </si>
  <si>
    <t>в том числе:</t>
  </si>
  <si>
    <t>г. Апатиты с подведомственной территорией</t>
  </si>
  <si>
    <t>г. Кировск с подведомственной территорией</t>
  </si>
  <si>
    <t>г. Мончегорск с подведомственной территорией</t>
  </si>
  <si>
    <t>г. Мурманск</t>
  </si>
  <si>
    <t>г. Оленегорск с подведомственной территорией</t>
  </si>
  <si>
    <t>г. Полярные Зори с подведомственной территорией</t>
  </si>
  <si>
    <t>ЗАТО Александровск</t>
  </si>
  <si>
    <t>ЗАТО г. Заозерск</t>
  </si>
  <si>
    <t>ЗАТО г. Островной</t>
  </si>
  <si>
    <t>ЗАТО г. Североморск</t>
  </si>
  <si>
    <t>ЗАТО п. Видяево</t>
  </si>
  <si>
    <t>Ковдорский район</t>
  </si>
  <si>
    <t>Муниципальные районы - итого</t>
  </si>
  <si>
    <t>Кандалакшский район</t>
  </si>
  <si>
    <t>Кольский район</t>
  </si>
  <si>
    <t>Ловозерский район</t>
  </si>
  <si>
    <t>Печенгский район</t>
  </si>
  <si>
    <t>Терский район</t>
  </si>
  <si>
    <t>ВСЕГО</t>
  </si>
  <si>
    <t xml:space="preserve">Количество выплат </t>
  </si>
  <si>
    <t xml:space="preserve">Расчёт </t>
  </si>
  <si>
    <t>Возмещения стоимости услуг по погребению умерших, не работавших и не являвшихся пенсионерами, а также в случае рождения мертвого ребенка по истечении 154 дней беременности производится специализированной службе по вопросам похоронного дела
 органами местного самоуправления,</t>
  </si>
  <si>
    <t>Установленый предельный размер выплаты на 2018 год руб.</t>
  </si>
  <si>
    <t xml:space="preserve">Объём расходов 2018 года тыс. руб. </t>
  </si>
  <si>
    <t xml:space="preserve">Значение в Закон 2018 год  тыс. руб. </t>
  </si>
  <si>
    <t xml:space="preserve">Значение в Закон 2019 год  тыс. руб. </t>
  </si>
  <si>
    <t xml:space="preserve">Значение в Закон 2020 год  тыс. руб. </t>
  </si>
  <si>
    <t>тыс. рублей</t>
  </si>
  <si>
    <t>Муниципальные образования</t>
  </si>
  <si>
    <t>Городские округа:</t>
  </si>
  <si>
    <t>ИТОГО</t>
  </si>
  <si>
    <t>Расчет объёма
субвенции на возмещение стоимости услуг по погребению умерших, не работавших и не являвшихся пенсионерами, а также в случае рождения мертвого ребенка по истечении 154 дней беременности, производимое специализированной службе по вопросам похоронного дела органами местного самоуправления, 
на 2018 год</t>
  </si>
  <si>
    <t>Прогнозируемое количество выплат на возмещение стоимости услуг по погребению умерших, указанных в статье 1 Закона</t>
  </si>
  <si>
    <t>Коэффициенты индексации размеров возмещения стоимости услуг по погребению, установленные законами Мурманской области об областном бюджете на предыдущие финансовые годы</t>
  </si>
  <si>
    <t>Коэффициент индексации размера возмещения стоимости услуг по погребению,
(G)</t>
  </si>
  <si>
    <t>G1</t>
  </si>
  <si>
    <t>G2</t>
  </si>
  <si>
    <t>Объем субвенции i-му муниципальному образованию на соответствующий финансовый год,
(Si)</t>
  </si>
  <si>
    <t>G3</t>
  </si>
  <si>
    <t>G4</t>
  </si>
  <si>
    <t>G5</t>
  </si>
  <si>
    <t>Размер возмещения стоимости услуг по погребению,  увеличенный на районный коэффициент, (N)</t>
  </si>
  <si>
    <t>Расчет объёма
субвенции на возмещение стоимости услуг по погребению умерших, не работавших и не являвшихся пенсионерами, а также в случае рождения мертвого ребенка по истечении 154 дней беременности, производимое специализированной службе по вопросам похоронного дела органами местного самоуправления, 
на 2019 год</t>
  </si>
  <si>
    <t>G6</t>
  </si>
  <si>
    <t>G7</t>
  </si>
  <si>
    <t>Министр</t>
  </si>
  <si>
    <t>С.Б. Мякишев</t>
  </si>
  <si>
    <t>Расчет объёма
субвенции на возмещение стоимости услуг по погребению умерших, не работавших и не являвшихся пенсионерами, а также в случае рождения мертвого ребенка по истечении 154 дней беременности, производимое специализированной службе по вопросам похоронного дела органами местного самоуправления, 
на 2021 год</t>
  </si>
  <si>
    <t>G8</t>
  </si>
  <si>
    <t>Коэффициент расходов на компенсацию затрат, (Ki)</t>
  </si>
  <si>
    <t>Предусмотрено Законом Мурманской области от 29.1.2018 N 2334-01-ЗМО "Об областном бюджете на 2019 год и на плановый период 2020 и 2021 годов"</t>
  </si>
  <si>
    <t>Отклонение</t>
  </si>
  <si>
    <t>по закону</t>
  </si>
  <si>
    <t>отклонения от закона</t>
  </si>
  <si>
    <t>Расчет объёма
субвенции на возмещение стоимости услуг по погребению умерших, не работавших и не являвшихся пенсионерами, а также в случае рождения мертвого ребенка по истечении 154 дней беременности, производимое специализированной службе по вопросам похоронного дела органами местного самоуправления, 
на 2020 год</t>
  </si>
  <si>
    <t>Расчет объёма
субвенции на возмещение стоимости услуг по погребению умерших, не работавших и не являвшихся пенсионерами, а также в случае рождения мертвого ребенка по истечении 154 дней беременности, производимое специализированной службе по вопросам похоронного дела органами местного самоуправления, 
на 2022 год</t>
  </si>
  <si>
    <t>G9</t>
  </si>
  <si>
    <t>G10</t>
  </si>
  <si>
    <t>Расчет объёма
субвенции на возмещение стоимости услуг по погребению умерших, не работавших и не являвшихся пенсионерами, а также в случае рождения мертвого ребенка по истечении 154 дней беременности, производимое специализированной службе по вопросам похоронного дела органами местного самоуправления, 
на 2023 год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</si>
</sst>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#,##0.000"/>
  </numFmts>
  <fonts count="10">
    <font>
      <sz val="11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0" fontId="3" fillId="0" borderId="0" xfId="0" applyFont="1"/>
    <xf numFmtId="0" fontId="4" fillId="0" borderId="0" xfId="0" applyFont="1"/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vertical="top" wrapText="1"/>
    </xf>
    <xf numFmtId="0" fontId="4" fillId="0" borderId="1" xfId="0" applyFont="1" applyBorder="1"/>
    <xf numFmtId="0" fontId="3" fillId="0" borderId="1" xfId="0" applyFont="1" applyBorder="1"/>
    <xf numFmtId="4" fontId="4" fillId="0" borderId="1" xfId="0" applyNumberFormat="1" applyFont="1" applyBorder="1"/>
    <xf numFmtId="0" fontId="2" fillId="0" borderId="1" xfId="0" applyFont="1" applyFill="1" applyBorder="1" applyAlignment="1">
      <alignment vertical="top" wrapText="1"/>
    </xf>
    <xf numFmtId="4" fontId="3" fillId="0" borderId="1" xfId="0" applyNumberFormat="1" applyFont="1" applyBorder="1"/>
    <xf numFmtId="0" fontId="3" fillId="0" borderId="1" xfId="0" applyFont="1" applyFill="1" applyBorder="1" applyAlignment="1">
      <alignment vertical="top" wrapText="1"/>
    </xf>
    <xf numFmtId="164" fontId="3" fillId="0" borderId="1" xfId="0" applyNumberFormat="1" applyFont="1" applyBorder="1"/>
    <xf numFmtId="0" fontId="3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wrapText="1"/>
    </xf>
    <xf numFmtId="3" fontId="6" fillId="0" borderId="1" xfId="0" applyNumberFormat="1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0" fontId="0" fillId="0" borderId="0" xfId="0" applyFont="1"/>
    <xf numFmtId="0" fontId="3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 shrinkToFit="1"/>
    </xf>
    <xf numFmtId="0" fontId="8" fillId="0" borderId="1" xfId="0" applyFont="1" applyBorder="1" applyAlignment="1">
      <alignment horizontal="center" vertical="center" wrapText="1" shrinkToFit="1"/>
    </xf>
    <xf numFmtId="4" fontId="3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3" fillId="0" borderId="1" xfId="0" applyFont="1" applyFill="1" applyBorder="1" applyAlignment="1">
      <alignment vertical="center" wrapText="1"/>
    </xf>
    <xf numFmtId="164" fontId="3" fillId="0" borderId="1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0" fontId="9" fillId="0" borderId="0" xfId="0" applyFont="1"/>
    <xf numFmtId="164" fontId="6" fillId="0" borderId="1" xfId="0" applyNumberFormat="1" applyFont="1" applyBorder="1" applyAlignment="1">
      <alignment horizontal="right" vertical="center"/>
    </xf>
    <xf numFmtId="164" fontId="3" fillId="0" borderId="1" xfId="0" applyNumberFormat="1" applyFont="1" applyBorder="1" applyAlignment="1">
      <alignment horizontal="right" vertical="center"/>
    </xf>
    <xf numFmtId="0" fontId="7" fillId="0" borderId="3" xfId="0" applyFont="1" applyBorder="1" applyAlignment="1">
      <alignment horizontal="center" vertical="center" wrapText="1" shrinkToFit="1"/>
    </xf>
    <xf numFmtId="0" fontId="3" fillId="2" borderId="1" xfId="0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/>
    </xf>
    <xf numFmtId="164" fontId="3" fillId="0" borderId="0" xfId="0" applyNumberFormat="1" applyFont="1"/>
    <xf numFmtId="3" fontId="3" fillId="0" borderId="0" xfId="0" applyNumberFormat="1" applyFont="1"/>
    <xf numFmtId="4" fontId="3" fillId="3" borderId="1" xfId="0" applyNumberFormat="1" applyFont="1" applyFill="1" applyBorder="1" applyAlignment="1">
      <alignment horizontal="center" vertical="center"/>
    </xf>
    <xf numFmtId="4" fontId="0" fillId="0" borderId="0" xfId="0" applyNumberFormat="1"/>
    <xf numFmtId="0" fontId="7" fillId="0" borderId="3" xfId="0" applyFont="1" applyBorder="1" applyAlignment="1">
      <alignment horizontal="center" vertical="center" wrapText="1" shrinkToFit="1"/>
    </xf>
    <xf numFmtId="0" fontId="7" fillId="0" borderId="3" xfId="0" applyFont="1" applyBorder="1" applyAlignment="1">
      <alignment horizontal="center" vertical="center" wrapText="1" shrinkToFit="1"/>
    </xf>
    <xf numFmtId="0" fontId="7" fillId="0" borderId="6" xfId="0" applyFont="1" applyBorder="1" applyAlignment="1">
      <alignment horizontal="center" vertical="center" wrapText="1" shrinkToFit="1"/>
    </xf>
    <xf numFmtId="0" fontId="8" fillId="0" borderId="7" xfId="0" applyFont="1" applyFill="1" applyBorder="1" applyAlignment="1">
      <alignment horizontal="center" vertical="center" wrapText="1" shrinkToFit="1"/>
    </xf>
    <xf numFmtId="0" fontId="7" fillId="0" borderId="3" xfId="0" applyFont="1" applyBorder="1" applyAlignment="1">
      <alignment horizontal="center" vertical="center" wrapText="1" shrinkToFit="1"/>
    </xf>
    <xf numFmtId="0" fontId="7" fillId="0" borderId="6" xfId="0" applyFont="1" applyBorder="1" applyAlignment="1">
      <alignment horizontal="center" vertical="center" wrapText="1" shrinkToFi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right"/>
    </xf>
    <xf numFmtId="0" fontId="7" fillId="0" borderId="4" xfId="0" applyFont="1" applyBorder="1" applyAlignment="1">
      <alignment horizontal="center" vertical="center" wrapText="1" shrinkToFit="1"/>
    </xf>
    <xf numFmtId="0" fontId="7" fillId="0" borderId="8" xfId="0" applyFont="1" applyBorder="1" applyAlignment="1">
      <alignment horizontal="center" vertical="center" wrapText="1" shrinkToFit="1"/>
    </xf>
    <xf numFmtId="0" fontId="7" fillId="0" borderId="5" xfId="0" applyFont="1" applyBorder="1" applyAlignment="1">
      <alignment horizontal="center" vertical="center" wrapText="1" shrinkToFit="1"/>
    </xf>
    <xf numFmtId="0" fontId="7" fillId="0" borderId="3" xfId="0" applyFont="1" applyBorder="1" applyAlignment="1">
      <alignment horizontal="center" vertical="center" wrapText="1" shrinkToFit="1"/>
    </xf>
    <xf numFmtId="0" fontId="7" fillId="0" borderId="6" xfId="0" applyFont="1" applyBorder="1" applyAlignment="1">
      <alignment horizontal="center" vertical="center" wrapText="1" shrinkToFit="1"/>
    </xf>
    <xf numFmtId="165" fontId="3" fillId="0" borderId="3" xfId="0" applyNumberFormat="1" applyFont="1" applyBorder="1" applyAlignment="1">
      <alignment horizontal="center" vertical="center"/>
    </xf>
    <xf numFmtId="165" fontId="3" fillId="0" borderId="7" xfId="0" applyNumberFormat="1" applyFont="1" applyBorder="1" applyAlignment="1">
      <alignment horizontal="center" vertical="center"/>
    </xf>
    <xf numFmtId="165" fontId="3" fillId="0" borderId="6" xfId="0" applyNumberFormat="1" applyFont="1" applyBorder="1" applyAlignment="1">
      <alignment horizontal="center" vertical="center"/>
    </xf>
    <xf numFmtId="4" fontId="3" fillId="0" borderId="3" xfId="0" applyNumberFormat="1" applyFont="1" applyBorder="1" applyAlignment="1">
      <alignment horizontal="center" vertical="center"/>
    </xf>
    <xf numFmtId="4" fontId="3" fillId="0" borderId="7" xfId="0" applyNumberFormat="1" applyFont="1" applyBorder="1" applyAlignment="1">
      <alignment horizontal="center" vertical="center"/>
    </xf>
    <xf numFmtId="4" fontId="3" fillId="0" borderId="6" xfId="0" applyNumberFormat="1" applyFont="1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0" fontId="5" fillId="4" borderId="0" xfId="0" applyFont="1" applyFill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 shrinkToFi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9"/>
  <sheetViews>
    <sheetView view="pageBreakPreview" topLeftCell="A5" zoomScale="80" zoomScaleNormal="100" zoomScaleSheetLayoutView="80" workbookViewId="0">
      <selection activeCell="D7" sqref="D7:D26"/>
    </sheetView>
  </sheetViews>
  <sheetFormatPr defaultRowHeight="14.4"/>
  <cols>
    <col min="1" max="1" width="49.109375" customWidth="1"/>
    <col min="2" max="2" width="24.6640625" customWidth="1"/>
    <col min="3" max="4" width="18.88671875" customWidth="1"/>
    <col min="5" max="5" width="19.44140625" customWidth="1"/>
    <col min="6" max="10" width="9.5546875" customWidth="1"/>
    <col min="11" max="11" width="22.88671875" customWidth="1"/>
    <col min="12" max="12" width="11" customWidth="1"/>
  </cols>
  <sheetData>
    <row r="1" spans="1:12" ht="34.5" customHeight="1">
      <c r="A1" s="43"/>
      <c r="B1" s="43"/>
      <c r="C1" s="43"/>
      <c r="D1" s="43"/>
      <c r="E1" s="43"/>
      <c r="F1" s="43"/>
      <c r="G1" s="43"/>
      <c r="H1" s="43"/>
      <c r="I1" s="43"/>
      <c r="J1" s="43"/>
      <c r="K1" s="43"/>
    </row>
    <row r="2" spans="1:12" ht="72" customHeight="1">
      <c r="A2" s="44" t="s">
        <v>33</v>
      </c>
      <c r="B2" s="44"/>
      <c r="C2" s="44"/>
      <c r="D2" s="44"/>
      <c r="E2" s="44"/>
      <c r="F2" s="44"/>
      <c r="G2" s="44"/>
      <c r="H2" s="44"/>
      <c r="I2" s="44"/>
      <c r="J2" s="44"/>
      <c r="K2" s="44"/>
    </row>
    <row r="3" spans="1:12" ht="28.5" customHeight="1">
      <c r="A3" s="45" t="s">
        <v>29</v>
      </c>
      <c r="B3" s="45"/>
      <c r="C3" s="45"/>
      <c r="D3" s="45"/>
      <c r="E3" s="45"/>
      <c r="F3" s="45"/>
      <c r="G3" s="45"/>
      <c r="H3" s="45"/>
      <c r="I3" s="45"/>
      <c r="J3" s="45"/>
      <c r="K3" s="45"/>
    </row>
    <row r="4" spans="1:12" s="18" customFormat="1" ht="98.25" customHeight="1">
      <c r="A4" s="49" t="s">
        <v>30</v>
      </c>
      <c r="B4" s="49" t="s">
        <v>34</v>
      </c>
      <c r="C4" s="49" t="s">
        <v>43</v>
      </c>
      <c r="D4" s="49" t="s">
        <v>51</v>
      </c>
      <c r="E4" s="49" t="s">
        <v>36</v>
      </c>
      <c r="F4" s="46" t="s">
        <v>35</v>
      </c>
      <c r="G4" s="47"/>
      <c r="H4" s="47"/>
      <c r="I4" s="47"/>
      <c r="J4" s="48"/>
      <c r="K4" s="49" t="s">
        <v>39</v>
      </c>
    </row>
    <row r="5" spans="1:12" ht="21" customHeight="1">
      <c r="A5" s="50"/>
      <c r="B5" s="50"/>
      <c r="C5" s="50"/>
      <c r="D5" s="50"/>
      <c r="E5" s="50"/>
      <c r="F5" s="20" t="s">
        <v>37</v>
      </c>
      <c r="G5" s="20" t="s">
        <v>38</v>
      </c>
      <c r="H5" s="20" t="s">
        <v>40</v>
      </c>
      <c r="I5" s="20" t="s">
        <v>41</v>
      </c>
      <c r="J5" s="20" t="s">
        <v>42</v>
      </c>
      <c r="K5" s="50"/>
    </row>
    <row r="6" spans="1:12" s="18" customFormat="1">
      <c r="A6" s="21">
        <v>1</v>
      </c>
      <c r="B6" s="21">
        <v>2</v>
      </c>
      <c r="C6" s="21">
        <v>3</v>
      </c>
      <c r="D6" s="21">
        <v>4</v>
      </c>
      <c r="E6" s="21">
        <v>5</v>
      </c>
      <c r="F6" s="21">
        <v>6</v>
      </c>
      <c r="G6" s="21">
        <v>7</v>
      </c>
      <c r="H6" s="21">
        <v>8</v>
      </c>
      <c r="I6" s="21">
        <v>9</v>
      </c>
      <c r="J6" s="21">
        <v>10</v>
      </c>
      <c r="K6" s="21">
        <v>11</v>
      </c>
    </row>
    <row r="7" spans="1:12" ht="27" customHeight="1">
      <c r="A7" s="23" t="s">
        <v>31</v>
      </c>
      <c r="B7" s="16">
        <f>SUM(B8:B19)</f>
        <v>281</v>
      </c>
      <c r="C7" s="16"/>
      <c r="D7" s="51">
        <v>1.0149999999999999</v>
      </c>
      <c r="E7" s="54">
        <v>1.04</v>
      </c>
      <c r="F7" s="51">
        <v>1.0549999999999999</v>
      </c>
      <c r="G7" s="51">
        <v>1.05</v>
      </c>
      <c r="H7" s="51">
        <v>1.0449999999999999</v>
      </c>
      <c r="I7" s="51">
        <v>1.04</v>
      </c>
      <c r="J7" s="51">
        <v>1.119</v>
      </c>
      <c r="K7" s="28">
        <f t="shared" ref="K7" si="0">SUM(K8:K19)</f>
        <v>2240600</v>
      </c>
    </row>
    <row r="8" spans="1:12" s="2" customFormat="1" ht="14.25" customHeight="1">
      <c r="A8" s="24" t="s">
        <v>2</v>
      </c>
      <c r="B8" s="19">
        <v>26</v>
      </c>
      <c r="C8" s="22">
        <f>4000*1.4</f>
        <v>5600</v>
      </c>
      <c r="D8" s="52"/>
      <c r="E8" s="55"/>
      <c r="F8" s="52"/>
      <c r="G8" s="52"/>
      <c r="H8" s="52"/>
      <c r="I8" s="52"/>
      <c r="J8" s="52"/>
      <c r="K8" s="29">
        <f>ROUNDUP(B8*C8*$E$7*$F$7*$G$7*$H$7*$I$7*$J$7*$D$7/1000,1)*1000</f>
        <v>207100</v>
      </c>
      <c r="L8" s="2">
        <f>C8*E7*F7*G7*H7*I7*J7</f>
        <v>7845.9013144512001</v>
      </c>
    </row>
    <row r="9" spans="1:12" s="2" customFormat="1" ht="14.25" customHeight="1">
      <c r="A9" s="24" t="s">
        <v>3</v>
      </c>
      <c r="B9" s="19">
        <v>15</v>
      </c>
      <c r="C9" s="22">
        <f t="shared" ref="C9:C19" si="1">4000*1.4</f>
        <v>5600</v>
      </c>
      <c r="D9" s="52"/>
      <c r="E9" s="55"/>
      <c r="F9" s="52"/>
      <c r="G9" s="52"/>
      <c r="H9" s="52"/>
      <c r="I9" s="52"/>
      <c r="J9" s="52"/>
      <c r="K9" s="29">
        <f t="shared" ref="K9:K25" si="2">ROUNDUP(B9*C9*$E$7*$F$7*$G$7*$H$7*$I$7*$J$7*$D$7/1000,1)*1000</f>
        <v>119500</v>
      </c>
    </row>
    <row r="10" spans="1:12" s="2" customFormat="1" ht="14.25" customHeight="1">
      <c r="A10" s="24" t="s">
        <v>4</v>
      </c>
      <c r="B10" s="19">
        <v>15</v>
      </c>
      <c r="C10" s="22">
        <f t="shared" si="1"/>
        <v>5600</v>
      </c>
      <c r="D10" s="52"/>
      <c r="E10" s="55"/>
      <c r="F10" s="52"/>
      <c r="G10" s="52"/>
      <c r="H10" s="52"/>
      <c r="I10" s="52"/>
      <c r="J10" s="52"/>
      <c r="K10" s="29">
        <f t="shared" si="2"/>
        <v>119500</v>
      </c>
    </row>
    <row r="11" spans="1:12" s="2" customFormat="1" ht="14.25" customHeight="1">
      <c r="A11" s="24" t="s">
        <v>5</v>
      </c>
      <c r="B11" s="19">
        <v>120</v>
      </c>
      <c r="C11" s="22">
        <f t="shared" si="1"/>
        <v>5600</v>
      </c>
      <c r="D11" s="52"/>
      <c r="E11" s="55"/>
      <c r="F11" s="52"/>
      <c r="G11" s="52"/>
      <c r="H11" s="52"/>
      <c r="I11" s="52"/>
      <c r="J11" s="52"/>
      <c r="K11" s="29">
        <f t="shared" si="2"/>
        <v>955700</v>
      </c>
    </row>
    <row r="12" spans="1:12" s="2" customFormat="1" ht="14.25" customHeight="1">
      <c r="A12" s="24" t="s">
        <v>6</v>
      </c>
      <c r="B12" s="19">
        <v>29</v>
      </c>
      <c r="C12" s="22">
        <f t="shared" si="1"/>
        <v>5600</v>
      </c>
      <c r="D12" s="52"/>
      <c r="E12" s="55"/>
      <c r="F12" s="52"/>
      <c r="G12" s="52"/>
      <c r="H12" s="52"/>
      <c r="I12" s="52"/>
      <c r="J12" s="52"/>
      <c r="K12" s="29">
        <f t="shared" si="2"/>
        <v>231000</v>
      </c>
    </row>
    <row r="13" spans="1:12" s="2" customFormat="1" ht="14.25" customHeight="1">
      <c r="A13" s="24" t="s">
        <v>7</v>
      </c>
      <c r="B13" s="19">
        <v>3</v>
      </c>
      <c r="C13" s="22">
        <f t="shared" si="1"/>
        <v>5600</v>
      </c>
      <c r="D13" s="52"/>
      <c r="E13" s="55"/>
      <c r="F13" s="52"/>
      <c r="G13" s="52"/>
      <c r="H13" s="52"/>
      <c r="I13" s="52"/>
      <c r="J13" s="52"/>
      <c r="K13" s="29">
        <f t="shared" si="2"/>
        <v>23900.000000000004</v>
      </c>
    </row>
    <row r="14" spans="1:12" s="2" customFormat="1" ht="14.25" customHeight="1">
      <c r="A14" s="24" t="s">
        <v>8</v>
      </c>
      <c r="B14" s="19">
        <v>14</v>
      </c>
      <c r="C14" s="22">
        <f t="shared" si="1"/>
        <v>5600</v>
      </c>
      <c r="D14" s="52"/>
      <c r="E14" s="55"/>
      <c r="F14" s="52"/>
      <c r="G14" s="52"/>
      <c r="H14" s="52"/>
      <c r="I14" s="52"/>
      <c r="J14" s="52"/>
      <c r="K14" s="29">
        <f t="shared" si="2"/>
        <v>111500</v>
      </c>
    </row>
    <row r="15" spans="1:12" s="2" customFormat="1" ht="14.25" customHeight="1">
      <c r="A15" s="24" t="s">
        <v>9</v>
      </c>
      <c r="B15" s="19">
        <v>1</v>
      </c>
      <c r="C15" s="22">
        <f t="shared" si="1"/>
        <v>5600</v>
      </c>
      <c r="D15" s="52"/>
      <c r="E15" s="55"/>
      <c r="F15" s="52"/>
      <c r="G15" s="52"/>
      <c r="H15" s="52"/>
      <c r="I15" s="52"/>
      <c r="J15" s="52"/>
      <c r="K15" s="29">
        <f t="shared" si="2"/>
        <v>8000</v>
      </c>
    </row>
    <row r="16" spans="1:12" s="2" customFormat="1" ht="14.25" customHeight="1">
      <c r="A16" s="24" t="s">
        <v>10</v>
      </c>
      <c r="B16" s="19">
        <v>1</v>
      </c>
      <c r="C16" s="22">
        <f>4000*1.8</f>
        <v>7200</v>
      </c>
      <c r="D16" s="52"/>
      <c r="E16" s="55"/>
      <c r="F16" s="52"/>
      <c r="G16" s="52"/>
      <c r="H16" s="52"/>
      <c r="I16" s="52"/>
      <c r="J16" s="52"/>
      <c r="K16" s="29">
        <f t="shared" si="2"/>
        <v>10299.999999999998</v>
      </c>
    </row>
    <row r="17" spans="1:11" s="2" customFormat="1" ht="14.25" customHeight="1">
      <c r="A17" s="24" t="s">
        <v>11</v>
      </c>
      <c r="B17" s="19">
        <v>51</v>
      </c>
      <c r="C17" s="22">
        <f t="shared" si="1"/>
        <v>5600</v>
      </c>
      <c r="D17" s="52"/>
      <c r="E17" s="55"/>
      <c r="F17" s="52"/>
      <c r="G17" s="52"/>
      <c r="H17" s="52"/>
      <c r="I17" s="52"/>
      <c r="J17" s="52"/>
      <c r="K17" s="29">
        <f t="shared" si="2"/>
        <v>406200.00000000006</v>
      </c>
    </row>
    <row r="18" spans="1:11" s="2" customFormat="1" ht="14.25" customHeight="1">
      <c r="A18" s="24" t="s">
        <v>12</v>
      </c>
      <c r="B18" s="19">
        <v>1</v>
      </c>
      <c r="C18" s="22">
        <f t="shared" si="1"/>
        <v>5600</v>
      </c>
      <c r="D18" s="52"/>
      <c r="E18" s="55"/>
      <c r="F18" s="52"/>
      <c r="G18" s="52"/>
      <c r="H18" s="52"/>
      <c r="I18" s="52"/>
      <c r="J18" s="52"/>
      <c r="K18" s="29">
        <f t="shared" si="2"/>
        <v>8000</v>
      </c>
    </row>
    <row r="19" spans="1:11" s="2" customFormat="1" ht="14.25" customHeight="1">
      <c r="A19" s="24" t="s">
        <v>13</v>
      </c>
      <c r="B19" s="19">
        <v>5</v>
      </c>
      <c r="C19" s="22">
        <f t="shared" si="1"/>
        <v>5600</v>
      </c>
      <c r="D19" s="52"/>
      <c r="E19" s="55"/>
      <c r="F19" s="52"/>
      <c r="G19" s="52"/>
      <c r="H19" s="52"/>
      <c r="I19" s="52"/>
      <c r="J19" s="52"/>
      <c r="K19" s="29">
        <f t="shared" si="2"/>
        <v>39900</v>
      </c>
    </row>
    <row r="20" spans="1:11" ht="27" customHeight="1">
      <c r="A20" s="23" t="s">
        <v>14</v>
      </c>
      <c r="B20" s="16">
        <f>SUM(B21:B25)</f>
        <v>34</v>
      </c>
      <c r="C20" s="16"/>
      <c r="D20" s="52"/>
      <c r="E20" s="55"/>
      <c r="F20" s="52"/>
      <c r="G20" s="52"/>
      <c r="H20" s="52"/>
      <c r="I20" s="52"/>
      <c r="J20" s="52"/>
      <c r="K20" s="28">
        <f>SUM(K21:K25)</f>
        <v>271000</v>
      </c>
    </row>
    <row r="21" spans="1:11" s="2" customFormat="1" ht="14.25" customHeight="1">
      <c r="A21" s="24" t="s">
        <v>15</v>
      </c>
      <c r="B21" s="19">
        <v>21</v>
      </c>
      <c r="C21" s="22">
        <f t="shared" ref="C21:C25" si="3">4000*1.4</f>
        <v>5600</v>
      </c>
      <c r="D21" s="52"/>
      <c r="E21" s="55"/>
      <c r="F21" s="52"/>
      <c r="G21" s="52"/>
      <c r="H21" s="52"/>
      <c r="I21" s="52"/>
      <c r="J21" s="52"/>
      <c r="K21" s="29">
        <f t="shared" si="2"/>
        <v>167299.99999999997</v>
      </c>
    </row>
    <row r="22" spans="1:11" s="2" customFormat="1" ht="14.25" customHeight="1">
      <c r="A22" s="24" t="s">
        <v>16</v>
      </c>
      <c r="B22" s="19">
        <v>5</v>
      </c>
      <c r="C22" s="22">
        <f t="shared" si="3"/>
        <v>5600</v>
      </c>
      <c r="D22" s="52"/>
      <c r="E22" s="55"/>
      <c r="F22" s="52"/>
      <c r="G22" s="52"/>
      <c r="H22" s="52"/>
      <c r="I22" s="52"/>
      <c r="J22" s="52"/>
      <c r="K22" s="29">
        <f t="shared" si="2"/>
        <v>39900</v>
      </c>
    </row>
    <row r="23" spans="1:11" s="2" customFormat="1" ht="14.25" customHeight="1">
      <c r="A23" s="24" t="s">
        <v>17</v>
      </c>
      <c r="B23" s="19">
        <v>3</v>
      </c>
      <c r="C23" s="22">
        <f t="shared" si="3"/>
        <v>5600</v>
      </c>
      <c r="D23" s="52"/>
      <c r="E23" s="55"/>
      <c r="F23" s="52"/>
      <c r="G23" s="52"/>
      <c r="H23" s="52"/>
      <c r="I23" s="52"/>
      <c r="J23" s="52"/>
      <c r="K23" s="29">
        <f t="shared" si="2"/>
        <v>23900.000000000004</v>
      </c>
    </row>
    <row r="24" spans="1:11" s="2" customFormat="1" ht="14.25" customHeight="1">
      <c r="A24" s="24" t="s">
        <v>18</v>
      </c>
      <c r="B24" s="19">
        <v>4</v>
      </c>
      <c r="C24" s="22">
        <f t="shared" si="3"/>
        <v>5600</v>
      </c>
      <c r="D24" s="52"/>
      <c r="E24" s="55"/>
      <c r="F24" s="52"/>
      <c r="G24" s="52"/>
      <c r="H24" s="52"/>
      <c r="I24" s="52"/>
      <c r="J24" s="52"/>
      <c r="K24" s="29">
        <f t="shared" si="2"/>
        <v>31900.000000000004</v>
      </c>
    </row>
    <row r="25" spans="1:11" s="2" customFormat="1" ht="14.25" customHeight="1">
      <c r="A25" s="24" t="s">
        <v>19</v>
      </c>
      <c r="B25" s="19">
        <v>1</v>
      </c>
      <c r="C25" s="22">
        <f t="shared" si="3"/>
        <v>5600</v>
      </c>
      <c r="D25" s="52"/>
      <c r="E25" s="55"/>
      <c r="F25" s="52"/>
      <c r="G25" s="52"/>
      <c r="H25" s="52"/>
      <c r="I25" s="52"/>
      <c r="J25" s="52"/>
      <c r="K25" s="29">
        <f t="shared" si="2"/>
        <v>8000</v>
      </c>
    </row>
    <row r="26" spans="1:11" ht="27" customHeight="1">
      <c r="A26" s="23" t="s">
        <v>32</v>
      </c>
      <c r="B26" s="16">
        <f>B20+B7</f>
        <v>315</v>
      </c>
      <c r="C26" s="16"/>
      <c r="D26" s="53"/>
      <c r="E26" s="56"/>
      <c r="F26" s="53"/>
      <c r="G26" s="53"/>
      <c r="H26" s="53"/>
      <c r="I26" s="53"/>
      <c r="J26" s="53"/>
      <c r="K26" s="28">
        <f t="shared" ref="K26" si="4">K20+K7</f>
        <v>2511600</v>
      </c>
    </row>
    <row r="29" spans="1:11" s="27" customFormat="1" ht="20.399999999999999">
      <c r="A29" s="27" t="s">
        <v>47</v>
      </c>
      <c r="E29" s="27" t="s">
        <v>48</v>
      </c>
    </row>
  </sheetData>
  <mergeCells count="17">
    <mergeCell ref="D7:D26"/>
    <mergeCell ref="E7:E26"/>
    <mergeCell ref="F7:F26"/>
    <mergeCell ref="J7:J26"/>
    <mergeCell ref="G7:G26"/>
    <mergeCell ref="H7:H26"/>
    <mergeCell ref="I7:I26"/>
    <mergeCell ref="A1:K1"/>
    <mergeCell ref="A2:K2"/>
    <mergeCell ref="A3:K3"/>
    <mergeCell ref="F4:J4"/>
    <mergeCell ref="K4:K5"/>
    <mergeCell ref="B4:B5"/>
    <mergeCell ref="A4:A5"/>
    <mergeCell ref="C4:C5"/>
    <mergeCell ref="E4:E5"/>
    <mergeCell ref="D4:D5"/>
  </mergeCells>
  <pageMargins left="0.25" right="0.25" top="0.75" bottom="0.75" header="0.3" footer="0.3"/>
  <pageSetup paperSize="9" scale="75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29"/>
  <sheetViews>
    <sheetView view="pageBreakPreview" zoomScale="70" zoomScaleNormal="100" zoomScaleSheetLayoutView="7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P9" sqref="P9"/>
    </sheetView>
  </sheetViews>
  <sheetFormatPr defaultRowHeight="14.4"/>
  <cols>
    <col min="1" max="1" width="50" customWidth="1"/>
    <col min="2" max="2" width="24.6640625" customWidth="1"/>
    <col min="3" max="4" width="18.88671875" customWidth="1"/>
    <col min="5" max="5" width="18.6640625" customWidth="1"/>
    <col min="6" max="11" width="9.5546875" customWidth="1"/>
    <col min="12" max="12" width="22.88671875" customWidth="1"/>
    <col min="13" max="13" width="21.33203125" customWidth="1"/>
    <col min="14" max="14" width="19.109375" customWidth="1"/>
    <col min="15" max="15" width="12.5546875" customWidth="1"/>
  </cols>
  <sheetData>
    <row r="1" spans="1:15" ht="34.5" customHeight="1">
      <c r="A1" s="43"/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</row>
    <row r="2" spans="1:15" ht="81" customHeight="1">
      <c r="A2" s="44" t="s">
        <v>44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</row>
    <row r="3" spans="1:15" ht="9.6" customHeight="1">
      <c r="A3" s="45" t="s">
        <v>29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</row>
    <row r="4" spans="1:15" s="18" customFormat="1" ht="95.4" customHeight="1">
      <c r="A4" s="49" t="s">
        <v>30</v>
      </c>
      <c r="B4" s="49" t="s">
        <v>34</v>
      </c>
      <c r="C4" s="49" t="s">
        <v>43</v>
      </c>
      <c r="D4" s="49" t="s">
        <v>51</v>
      </c>
      <c r="E4" s="49" t="s">
        <v>36</v>
      </c>
      <c r="F4" s="46" t="s">
        <v>35</v>
      </c>
      <c r="G4" s="47"/>
      <c r="H4" s="47"/>
      <c r="I4" s="47"/>
      <c r="J4" s="47"/>
      <c r="K4" s="48"/>
      <c r="L4" s="49" t="s">
        <v>39</v>
      </c>
      <c r="M4" s="57" t="s">
        <v>52</v>
      </c>
      <c r="N4" s="58" t="s">
        <v>53</v>
      </c>
    </row>
    <row r="5" spans="1:15" ht="111" customHeight="1">
      <c r="A5" s="50"/>
      <c r="B5" s="50"/>
      <c r="C5" s="50"/>
      <c r="D5" s="50"/>
      <c r="E5" s="50"/>
      <c r="F5" s="20" t="s">
        <v>37</v>
      </c>
      <c r="G5" s="20" t="s">
        <v>38</v>
      </c>
      <c r="H5" s="20" t="s">
        <v>40</v>
      </c>
      <c r="I5" s="20" t="s">
        <v>41</v>
      </c>
      <c r="J5" s="20" t="s">
        <v>42</v>
      </c>
      <c r="K5" s="20" t="s">
        <v>45</v>
      </c>
      <c r="L5" s="50"/>
      <c r="M5" s="57"/>
      <c r="N5" s="59"/>
    </row>
    <row r="6" spans="1:15" s="18" customFormat="1">
      <c r="A6" s="21">
        <v>1</v>
      </c>
      <c r="B6" s="21">
        <v>2</v>
      </c>
      <c r="C6" s="21">
        <v>3</v>
      </c>
      <c r="D6" s="21">
        <v>4</v>
      </c>
      <c r="E6" s="21">
        <v>4</v>
      </c>
      <c r="F6" s="21">
        <v>5</v>
      </c>
      <c r="G6" s="21">
        <v>6</v>
      </c>
      <c r="H6" s="21">
        <v>7</v>
      </c>
      <c r="I6" s="21">
        <v>8</v>
      </c>
      <c r="J6" s="21">
        <v>9</v>
      </c>
      <c r="K6" s="21">
        <v>10</v>
      </c>
      <c r="L6" s="21">
        <v>11</v>
      </c>
      <c r="M6" s="40">
        <v>12</v>
      </c>
      <c r="N6" s="40">
        <v>13</v>
      </c>
    </row>
    <row r="7" spans="1:15" ht="21.75" customHeight="1">
      <c r="A7" s="23" t="s">
        <v>31</v>
      </c>
      <c r="B7" s="16">
        <f>SUM(B8:B19)</f>
        <v>281</v>
      </c>
      <c r="C7" s="16"/>
      <c r="D7" s="51">
        <v>1.0149999999999999</v>
      </c>
      <c r="E7" s="51">
        <v>1.0229999999999999</v>
      </c>
      <c r="F7" s="51">
        <v>1.0549999999999999</v>
      </c>
      <c r="G7" s="51">
        <v>1.05</v>
      </c>
      <c r="H7" s="51">
        <v>1.0449999999999999</v>
      </c>
      <c r="I7" s="51">
        <v>1.04</v>
      </c>
      <c r="J7" s="51">
        <v>1.119</v>
      </c>
      <c r="K7" s="51">
        <v>1.04</v>
      </c>
      <c r="L7" s="17">
        <f t="shared" ref="L7:N7" si="0">SUM(L8:L19)</f>
        <v>2292200</v>
      </c>
      <c r="M7" s="17">
        <f t="shared" si="0"/>
        <v>2259600</v>
      </c>
      <c r="N7" s="17">
        <f t="shared" si="0"/>
        <v>32600.000000000015</v>
      </c>
    </row>
    <row r="8" spans="1:15" s="2" customFormat="1" ht="14.25" customHeight="1">
      <c r="A8" s="24" t="s">
        <v>2</v>
      </c>
      <c r="B8" s="32">
        <v>18</v>
      </c>
      <c r="C8" s="22">
        <f>4000*1.4</f>
        <v>5600</v>
      </c>
      <c r="D8" s="52"/>
      <c r="E8" s="52"/>
      <c r="F8" s="52"/>
      <c r="G8" s="52"/>
      <c r="H8" s="52"/>
      <c r="I8" s="52"/>
      <c r="J8" s="52"/>
      <c r="K8" s="52"/>
      <c r="L8" s="25">
        <f>ROUNDUP(B8*C8*$E$7*$F$7*$G$7*$H$7*$I$7*$K$7*$J$7*$D$7/1000,1)*1000</f>
        <v>146700</v>
      </c>
      <c r="M8" s="34">
        <v>122300</v>
      </c>
      <c r="N8" s="33">
        <f>L8-M8</f>
        <v>24400</v>
      </c>
      <c r="O8" s="22">
        <f>C8*E7*F7*G7*H7*I7*J7*K7</f>
        <v>8026.3570446835765</v>
      </c>
    </row>
    <row r="9" spans="1:15" s="2" customFormat="1" ht="14.25" customHeight="1">
      <c r="A9" s="24" t="s">
        <v>3</v>
      </c>
      <c r="B9" s="19">
        <v>5</v>
      </c>
      <c r="C9" s="22">
        <f t="shared" ref="C9:C19" si="1">4000*1.4</f>
        <v>5600</v>
      </c>
      <c r="D9" s="52"/>
      <c r="E9" s="52"/>
      <c r="F9" s="52"/>
      <c r="G9" s="52"/>
      <c r="H9" s="52"/>
      <c r="I9" s="52"/>
      <c r="J9" s="52"/>
      <c r="K9" s="52"/>
      <c r="L9" s="25">
        <f t="shared" ref="L9:L25" si="2">ROUNDUP(B9*C9*$E$7*$F$7*$G$7*$H$7*$I$7*$K$7*$J$7*$D$7/1000,1)*1000</f>
        <v>40800.000000000007</v>
      </c>
      <c r="M9" s="34">
        <v>122300</v>
      </c>
      <c r="N9" s="33">
        <f t="shared" ref="N9:N25" si="3">L9-M9</f>
        <v>-81500</v>
      </c>
    </row>
    <row r="10" spans="1:15" s="2" customFormat="1" ht="14.25" customHeight="1">
      <c r="A10" s="24" t="s">
        <v>4</v>
      </c>
      <c r="B10" s="31">
        <v>19</v>
      </c>
      <c r="C10" s="22">
        <f t="shared" si="1"/>
        <v>5600</v>
      </c>
      <c r="D10" s="52"/>
      <c r="E10" s="52"/>
      <c r="F10" s="52"/>
      <c r="G10" s="52"/>
      <c r="H10" s="52"/>
      <c r="I10" s="52"/>
      <c r="J10" s="52"/>
      <c r="K10" s="52"/>
      <c r="L10" s="25">
        <f t="shared" si="2"/>
        <v>154799.99999999997</v>
      </c>
      <c r="M10" s="34">
        <v>122300</v>
      </c>
      <c r="N10" s="33">
        <f t="shared" si="3"/>
        <v>32499.999999999971</v>
      </c>
    </row>
    <row r="11" spans="1:15" s="2" customFormat="1" ht="14.25" customHeight="1">
      <c r="A11" s="24" t="s">
        <v>5</v>
      </c>
      <c r="B11" s="31">
        <v>125</v>
      </c>
      <c r="C11" s="22">
        <f t="shared" si="1"/>
        <v>5600</v>
      </c>
      <c r="D11" s="52"/>
      <c r="E11" s="52"/>
      <c r="F11" s="52"/>
      <c r="G11" s="52"/>
      <c r="H11" s="52"/>
      <c r="I11" s="52"/>
      <c r="J11" s="52"/>
      <c r="K11" s="52"/>
      <c r="L11" s="25">
        <f t="shared" si="2"/>
        <v>1018400</v>
      </c>
      <c r="M11" s="34">
        <v>1018400</v>
      </c>
      <c r="N11" s="33">
        <f t="shared" si="3"/>
        <v>0</v>
      </c>
    </row>
    <row r="12" spans="1:15" s="2" customFormat="1" ht="14.25" customHeight="1">
      <c r="A12" s="24" t="s">
        <v>6</v>
      </c>
      <c r="B12" s="31">
        <v>37</v>
      </c>
      <c r="C12" s="22">
        <f t="shared" si="1"/>
        <v>5600</v>
      </c>
      <c r="D12" s="52"/>
      <c r="E12" s="52"/>
      <c r="F12" s="52"/>
      <c r="G12" s="52"/>
      <c r="H12" s="52"/>
      <c r="I12" s="52"/>
      <c r="J12" s="52"/>
      <c r="K12" s="52"/>
      <c r="L12" s="25">
        <f t="shared" si="2"/>
        <v>301500</v>
      </c>
      <c r="M12" s="34">
        <v>236300</v>
      </c>
      <c r="N12" s="33">
        <f t="shared" si="3"/>
        <v>65200</v>
      </c>
    </row>
    <row r="13" spans="1:15" s="2" customFormat="1" ht="14.25" customHeight="1">
      <c r="A13" s="24" t="s">
        <v>7</v>
      </c>
      <c r="B13" s="31">
        <v>2</v>
      </c>
      <c r="C13" s="22">
        <f t="shared" si="1"/>
        <v>5600</v>
      </c>
      <c r="D13" s="52"/>
      <c r="E13" s="52"/>
      <c r="F13" s="52"/>
      <c r="G13" s="52"/>
      <c r="H13" s="52"/>
      <c r="I13" s="52"/>
      <c r="J13" s="52"/>
      <c r="K13" s="52"/>
      <c r="L13" s="25">
        <f t="shared" si="2"/>
        <v>16300</v>
      </c>
      <c r="M13" s="34">
        <v>16300</v>
      </c>
      <c r="N13" s="33">
        <f t="shared" si="3"/>
        <v>0</v>
      </c>
    </row>
    <row r="14" spans="1:15" s="2" customFormat="1" ht="14.25" customHeight="1">
      <c r="A14" s="24" t="s">
        <v>8</v>
      </c>
      <c r="B14" s="31">
        <v>9</v>
      </c>
      <c r="C14" s="22">
        <f t="shared" si="1"/>
        <v>5600</v>
      </c>
      <c r="D14" s="52"/>
      <c r="E14" s="52"/>
      <c r="F14" s="52"/>
      <c r="G14" s="52"/>
      <c r="H14" s="52"/>
      <c r="I14" s="52"/>
      <c r="J14" s="52"/>
      <c r="K14" s="52"/>
      <c r="L14" s="25">
        <f t="shared" si="2"/>
        <v>73399.999999999985</v>
      </c>
      <c r="M14" s="34">
        <v>114100</v>
      </c>
      <c r="N14" s="33">
        <f t="shared" si="3"/>
        <v>-40700.000000000015</v>
      </c>
    </row>
    <row r="15" spans="1:15" s="2" customFormat="1" ht="14.25" customHeight="1">
      <c r="A15" s="24" t="s">
        <v>9</v>
      </c>
      <c r="B15" s="19">
        <v>7</v>
      </c>
      <c r="C15" s="35">
        <f t="shared" si="1"/>
        <v>5600</v>
      </c>
      <c r="D15" s="52"/>
      <c r="E15" s="52"/>
      <c r="F15" s="52"/>
      <c r="G15" s="52"/>
      <c r="H15" s="52"/>
      <c r="I15" s="52"/>
      <c r="J15" s="52"/>
      <c r="K15" s="52"/>
      <c r="L15" s="25">
        <f t="shared" si="2"/>
        <v>57100</v>
      </c>
      <c r="M15" s="34">
        <v>16300</v>
      </c>
      <c r="N15" s="33">
        <f t="shared" si="3"/>
        <v>40800</v>
      </c>
    </row>
    <row r="16" spans="1:15" s="2" customFormat="1" ht="14.25" customHeight="1">
      <c r="A16" s="24" t="s">
        <v>10</v>
      </c>
      <c r="B16" s="31">
        <v>1</v>
      </c>
      <c r="C16" s="22">
        <f>4000*1.8</f>
        <v>7200</v>
      </c>
      <c r="D16" s="52"/>
      <c r="E16" s="52"/>
      <c r="F16" s="52"/>
      <c r="G16" s="52"/>
      <c r="H16" s="52"/>
      <c r="I16" s="52"/>
      <c r="J16" s="52"/>
      <c r="K16" s="52"/>
      <c r="L16" s="25">
        <f t="shared" si="2"/>
        <v>10500</v>
      </c>
      <c r="M16" s="34">
        <v>10500</v>
      </c>
      <c r="N16" s="33">
        <f t="shared" si="3"/>
        <v>0</v>
      </c>
    </row>
    <row r="17" spans="1:14" s="2" customFormat="1" ht="14.25" customHeight="1">
      <c r="A17" s="24" t="s">
        <v>11</v>
      </c>
      <c r="B17" s="31">
        <v>50</v>
      </c>
      <c r="C17" s="22">
        <f t="shared" si="1"/>
        <v>5600</v>
      </c>
      <c r="D17" s="52"/>
      <c r="E17" s="52"/>
      <c r="F17" s="52"/>
      <c r="G17" s="52"/>
      <c r="H17" s="52"/>
      <c r="I17" s="52"/>
      <c r="J17" s="52"/>
      <c r="K17" s="52"/>
      <c r="L17" s="25">
        <f t="shared" si="2"/>
        <v>407400.00000000006</v>
      </c>
      <c r="M17" s="34">
        <v>415500</v>
      </c>
      <c r="N17" s="33">
        <f t="shared" si="3"/>
        <v>-8099.9999999999418</v>
      </c>
    </row>
    <row r="18" spans="1:14" s="2" customFormat="1" ht="14.25" customHeight="1">
      <c r="A18" s="24" t="s">
        <v>12</v>
      </c>
      <c r="B18" s="31">
        <v>1</v>
      </c>
      <c r="C18" s="22">
        <f t="shared" si="1"/>
        <v>5600</v>
      </c>
      <c r="D18" s="52"/>
      <c r="E18" s="52"/>
      <c r="F18" s="52"/>
      <c r="G18" s="52"/>
      <c r="H18" s="52"/>
      <c r="I18" s="52"/>
      <c r="J18" s="52"/>
      <c r="K18" s="52"/>
      <c r="L18" s="25">
        <f t="shared" si="2"/>
        <v>8200</v>
      </c>
      <c r="M18" s="34">
        <v>8200</v>
      </c>
      <c r="N18" s="33">
        <f t="shared" si="3"/>
        <v>0</v>
      </c>
    </row>
    <row r="19" spans="1:14" s="2" customFormat="1" ht="14.25" customHeight="1">
      <c r="A19" s="24" t="s">
        <v>13</v>
      </c>
      <c r="B19" s="31">
        <v>7</v>
      </c>
      <c r="C19" s="22">
        <f t="shared" si="1"/>
        <v>5600</v>
      </c>
      <c r="D19" s="52"/>
      <c r="E19" s="52"/>
      <c r="F19" s="52"/>
      <c r="G19" s="52"/>
      <c r="H19" s="52"/>
      <c r="I19" s="52"/>
      <c r="J19" s="52"/>
      <c r="K19" s="52"/>
      <c r="L19" s="25">
        <f t="shared" si="2"/>
        <v>57100</v>
      </c>
      <c r="M19" s="34">
        <v>57100</v>
      </c>
      <c r="N19" s="33">
        <f t="shared" si="3"/>
        <v>0</v>
      </c>
    </row>
    <row r="20" spans="1:14" ht="21.75" customHeight="1">
      <c r="A20" s="23" t="s">
        <v>14</v>
      </c>
      <c r="B20" s="16">
        <f>SUM(B21:B25)</f>
        <v>39</v>
      </c>
      <c r="C20" s="16"/>
      <c r="D20" s="52"/>
      <c r="E20" s="52"/>
      <c r="F20" s="52"/>
      <c r="G20" s="52"/>
      <c r="H20" s="52"/>
      <c r="I20" s="52"/>
      <c r="J20" s="52"/>
      <c r="K20" s="52"/>
      <c r="L20" s="17">
        <f>SUM(L21:L25)</f>
        <v>317900</v>
      </c>
      <c r="M20" s="17">
        <f t="shared" ref="M20:N20" si="4">SUM(M21:M25)</f>
        <v>366800</v>
      </c>
      <c r="N20" s="17">
        <f t="shared" si="4"/>
        <v>-48900</v>
      </c>
    </row>
    <row r="21" spans="1:14" s="2" customFormat="1" ht="14.25" customHeight="1">
      <c r="A21" s="24" t="s">
        <v>15</v>
      </c>
      <c r="B21" s="32">
        <v>10</v>
      </c>
      <c r="C21" s="22">
        <f t="shared" ref="C21:C25" si="5">4000*1.4</f>
        <v>5600</v>
      </c>
      <c r="D21" s="52"/>
      <c r="E21" s="52"/>
      <c r="F21" s="52"/>
      <c r="G21" s="52"/>
      <c r="H21" s="52"/>
      <c r="I21" s="52"/>
      <c r="J21" s="52"/>
      <c r="K21" s="52"/>
      <c r="L21" s="25">
        <f t="shared" si="2"/>
        <v>81500</v>
      </c>
      <c r="M21" s="34">
        <v>171100</v>
      </c>
      <c r="N21" s="33">
        <f t="shared" si="3"/>
        <v>-89600</v>
      </c>
    </row>
    <row r="22" spans="1:14" s="2" customFormat="1" ht="14.25" customHeight="1">
      <c r="A22" s="24" t="s">
        <v>16</v>
      </c>
      <c r="B22" s="31">
        <v>14</v>
      </c>
      <c r="C22" s="22">
        <f t="shared" si="5"/>
        <v>5600</v>
      </c>
      <c r="D22" s="52"/>
      <c r="E22" s="52"/>
      <c r="F22" s="52"/>
      <c r="G22" s="52"/>
      <c r="H22" s="52"/>
      <c r="I22" s="52"/>
      <c r="J22" s="52"/>
      <c r="K22" s="52"/>
      <c r="L22" s="25">
        <f t="shared" si="2"/>
        <v>114100</v>
      </c>
      <c r="M22" s="34">
        <v>114100</v>
      </c>
      <c r="N22" s="33">
        <f t="shared" si="3"/>
        <v>0</v>
      </c>
    </row>
    <row r="23" spans="1:14" s="2" customFormat="1" ht="14.25" customHeight="1">
      <c r="A23" s="24" t="s">
        <v>17</v>
      </c>
      <c r="B23" s="31">
        <v>6</v>
      </c>
      <c r="C23" s="22">
        <f t="shared" si="5"/>
        <v>5600</v>
      </c>
      <c r="D23" s="52"/>
      <c r="E23" s="52"/>
      <c r="F23" s="52"/>
      <c r="G23" s="52"/>
      <c r="H23" s="52"/>
      <c r="I23" s="52"/>
      <c r="J23" s="52"/>
      <c r="K23" s="52"/>
      <c r="L23" s="25">
        <f t="shared" si="2"/>
        <v>48900</v>
      </c>
      <c r="M23" s="34">
        <v>24500</v>
      </c>
      <c r="N23" s="33">
        <f t="shared" si="3"/>
        <v>24400</v>
      </c>
    </row>
    <row r="24" spans="1:14" s="2" customFormat="1" ht="14.25" customHeight="1">
      <c r="A24" s="24" t="s">
        <v>18</v>
      </c>
      <c r="B24" s="31">
        <v>6</v>
      </c>
      <c r="C24" s="22">
        <f t="shared" si="5"/>
        <v>5600</v>
      </c>
      <c r="D24" s="52"/>
      <c r="E24" s="52"/>
      <c r="F24" s="52"/>
      <c r="G24" s="52"/>
      <c r="H24" s="52"/>
      <c r="I24" s="52"/>
      <c r="J24" s="52"/>
      <c r="K24" s="52"/>
      <c r="L24" s="25">
        <f t="shared" si="2"/>
        <v>48900</v>
      </c>
      <c r="M24" s="34">
        <v>32600</v>
      </c>
      <c r="N24" s="33">
        <f t="shared" si="3"/>
        <v>16300</v>
      </c>
    </row>
    <row r="25" spans="1:14" s="2" customFormat="1" ht="14.25" customHeight="1">
      <c r="A25" s="24" t="s">
        <v>19</v>
      </c>
      <c r="B25" s="31">
        <v>3</v>
      </c>
      <c r="C25" s="22">
        <f t="shared" si="5"/>
        <v>5600</v>
      </c>
      <c r="D25" s="52"/>
      <c r="E25" s="52"/>
      <c r="F25" s="52"/>
      <c r="G25" s="52"/>
      <c r="H25" s="52"/>
      <c r="I25" s="52"/>
      <c r="J25" s="52"/>
      <c r="K25" s="52"/>
      <c r="L25" s="25">
        <f t="shared" si="2"/>
        <v>24500</v>
      </c>
      <c r="M25" s="34">
        <v>24500</v>
      </c>
      <c r="N25" s="33">
        <f t="shared" si="3"/>
        <v>0</v>
      </c>
    </row>
    <row r="26" spans="1:14" ht="21.75" customHeight="1">
      <c r="A26" s="23" t="s">
        <v>32</v>
      </c>
      <c r="B26" s="16">
        <f>B20+B7</f>
        <v>320</v>
      </c>
      <c r="C26" s="16"/>
      <c r="D26" s="53"/>
      <c r="E26" s="53"/>
      <c r="F26" s="53"/>
      <c r="G26" s="53"/>
      <c r="H26" s="53"/>
      <c r="I26" s="53"/>
      <c r="J26" s="53"/>
      <c r="K26" s="53"/>
      <c r="L26" s="17">
        <f t="shared" ref="L26:N26" si="6">L20+L7</f>
        <v>2610100</v>
      </c>
      <c r="M26" s="17">
        <f t="shared" si="6"/>
        <v>2626400</v>
      </c>
      <c r="N26" s="17">
        <f t="shared" si="6"/>
        <v>-16299.999999999985</v>
      </c>
    </row>
    <row r="29" spans="1:14" ht="20.399999999999999">
      <c r="D29" s="27"/>
    </row>
  </sheetData>
  <autoFilter ref="A6:N26"/>
  <mergeCells count="20">
    <mergeCell ref="A1:L1"/>
    <mergeCell ref="A2:L2"/>
    <mergeCell ref="A3:L3"/>
    <mergeCell ref="A4:A5"/>
    <mergeCell ref="B4:B5"/>
    <mergeCell ref="C4:C5"/>
    <mergeCell ref="E4:E5"/>
    <mergeCell ref="F4:K4"/>
    <mergeCell ref="L4:L5"/>
    <mergeCell ref="H7:H26"/>
    <mergeCell ref="I7:I26"/>
    <mergeCell ref="M4:M5"/>
    <mergeCell ref="N4:N5"/>
    <mergeCell ref="D4:D5"/>
    <mergeCell ref="D7:D26"/>
    <mergeCell ref="K7:K26"/>
    <mergeCell ref="J7:J26"/>
    <mergeCell ref="E7:E26"/>
    <mergeCell ref="F7:F26"/>
    <mergeCell ref="G7:G26"/>
  </mergeCells>
  <pageMargins left="0.23622047244094491" right="0.23622047244094491" top="0.74803149606299213" bottom="0.74803149606299213" header="0.31496062992125984" footer="0.31496062992125984"/>
  <pageSetup paperSize="9" scale="3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2:N31"/>
  <sheetViews>
    <sheetView topLeftCell="A8" zoomScaleNormal="100" workbookViewId="0">
      <selection activeCell="F9" sqref="F9:F28"/>
    </sheetView>
  </sheetViews>
  <sheetFormatPr defaultRowHeight="14.4"/>
  <cols>
    <col min="1" max="1" width="41.88671875" customWidth="1"/>
    <col min="2" max="2" width="24.6640625" customWidth="1"/>
    <col min="3" max="4" width="18.88671875" customWidth="1"/>
    <col min="5" max="5" width="18.6640625" customWidth="1"/>
    <col min="6" max="12" width="9.5546875" customWidth="1"/>
    <col min="13" max="13" width="22.88671875" customWidth="1"/>
    <col min="14" max="14" width="11" customWidth="1"/>
  </cols>
  <sheetData>
    <row r="2" spans="1:14" ht="34.5" customHeight="1">
      <c r="A2" s="43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</row>
    <row r="3" spans="1:14" ht="72" customHeight="1">
      <c r="A3" s="62" t="s">
        <v>56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</row>
    <row r="4" spans="1:14" ht="28.5" customHeight="1">
      <c r="A4" s="45" t="s">
        <v>29</v>
      </c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</row>
    <row r="5" spans="1:14" s="18" customFormat="1" ht="98.25" customHeight="1">
      <c r="A5" s="49" t="s">
        <v>30</v>
      </c>
      <c r="B5" s="49" t="s">
        <v>34</v>
      </c>
      <c r="C5" s="49" t="s">
        <v>43</v>
      </c>
      <c r="D5" s="49" t="s">
        <v>51</v>
      </c>
      <c r="E5" s="49" t="s">
        <v>36</v>
      </c>
      <c r="F5" s="46" t="s">
        <v>35</v>
      </c>
      <c r="G5" s="47"/>
      <c r="H5" s="47"/>
      <c r="I5" s="47"/>
      <c r="J5" s="47"/>
      <c r="K5" s="47"/>
      <c r="L5" s="48"/>
      <c r="M5" s="49" t="s">
        <v>39</v>
      </c>
    </row>
    <row r="6" spans="1:14" ht="21" customHeight="1">
      <c r="A6" s="50"/>
      <c r="B6" s="50"/>
      <c r="C6" s="50"/>
      <c r="D6" s="50"/>
      <c r="E6" s="50"/>
      <c r="F6" s="30" t="s">
        <v>37</v>
      </c>
      <c r="G6" s="30" t="s">
        <v>38</v>
      </c>
      <c r="H6" s="30" t="s">
        <v>40</v>
      </c>
      <c r="I6" s="30" t="s">
        <v>41</v>
      </c>
      <c r="J6" s="30" t="s">
        <v>42</v>
      </c>
      <c r="K6" s="30" t="s">
        <v>45</v>
      </c>
      <c r="L6" s="30" t="s">
        <v>46</v>
      </c>
      <c r="M6" s="50"/>
    </row>
    <row r="7" spans="1:14" ht="21" hidden="1" customHeight="1">
      <c r="A7" s="39"/>
      <c r="B7" s="39"/>
      <c r="C7" s="39"/>
      <c r="D7" s="39"/>
      <c r="E7" s="39">
        <v>2020</v>
      </c>
      <c r="F7" s="38">
        <v>2013</v>
      </c>
      <c r="G7" s="38">
        <v>2014</v>
      </c>
      <c r="H7" s="38">
        <v>2015</v>
      </c>
      <c r="I7" s="38">
        <v>2016</v>
      </c>
      <c r="J7" s="38">
        <v>2017</v>
      </c>
      <c r="K7" s="38">
        <v>2018</v>
      </c>
      <c r="L7" s="38">
        <v>2019</v>
      </c>
      <c r="M7" s="39"/>
    </row>
    <row r="8" spans="1:14" s="18" customFormat="1">
      <c r="A8" s="21">
        <v>1</v>
      </c>
      <c r="B8" s="21">
        <v>2</v>
      </c>
      <c r="C8" s="21">
        <v>3</v>
      </c>
      <c r="D8" s="21">
        <v>4</v>
      </c>
      <c r="E8" s="21">
        <v>5</v>
      </c>
      <c r="F8" s="21">
        <v>6</v>
      </c>
      <c r="G8" s="21">
        <v>7</v>
      </c>
      <c r="H8" s="21">
        <v>8</v>
      </c>
      <c r="I8" s="21">
        <v>9</v>
      </c>
      <c r="J8" s="21">
        <v>10</v>
      </c>
      <c r="K8" s="21">
        <v>11</v>
      </c>
      <c r="L8" s="21">
        <v>12</v>
      </c>
      <c r="M8" s="21">
        <v>13</v>
      </c>
    </row>
    <row r="9" spans="1:14" ht="35.25" customHeight="1">
      <c r="A9" s="23" t="s">
        <v>31</v>
      </c>
      <c r="B9" s="16">
        <v>283</v>
      </c>
      <c r="C9" s="16"/>
      <c r="D9" s="51">
        <v>1.0149999999999999</v>
      </c>
      <c r="E9" s="51">
        <v>1</v>
      </c>
      <c r="F9" s="51">
        <v>1.0549999999999999</v>
      </c>
      <c r="G9" s="51">
        <v>1.05</v>
      </c>
      <c r="H9" s="51">
        <v>1.0449999999999999</v>
      </c>
      <c r="I9" s="51">
        <v>1.04</v>
      </c>
      <c r="J9" s="51">
        <v>1.119</v>
      </c>
      <c r="K9" s="51">
        <v>1.04</v>
      </c>
      <c r="L9" s="51">
        <v>1.0229999999999999</v>
      </c>
      <c r="M9" s="17">
        <f t="shared" ref="M9" si="0">SUM(M10:M21)</f>
        <v>2357300</v>
      </c>
    </row>
    <row r="10" spans="1:14" s="2" customFormat="1" ht="20.25" customHeight="1">
      <c r="A10" s="24" t="s">
        <v>2</v>
      </c>
      <c r="B10" s="32">
        <v>18</v>
      </c>
      <c r="C10" s="22">
        <f>4000*1.4</f>
        <v>5600</v>
      </c>
      <c r="D10" s="52"/>
      <c r="E10" s="52"/>
      <c r="F10" s="52"/>
      <c r="G10" s="52"/>
      <c r="H10" s="52"/>
      <c r="I10" s="52"/>
      <c r="J10" s="52"/>
      <c r="K10" s="52"/>
      <c r="L10" s="52"/>
      <c r="M10" s="25">
        <f>ROUNDUP(B10*C10*$E$9*$F$9*$G$9*$H$9*$I$9*$L$9*$J$9*$K$9*$D$9/1000,1)*1000</f>
        <v>146700</v>
      </c>
      <c r="N10" s="2">
        <f>C10*E9*F9*G9*H9*I9*J9*K9*L9</f>
        <v>8026.3570446835765</v>
      </c>
    </row>
    <row r="11" spans="1:14" s="2" customFormat="1" ht="20.25" customHeight="1">
      <c r="A11" s="24" t="s">
        <v>3</v>
      </c>
      <c r="B11" s="19">
        <v>15</v>
      </c>
      <c r="C11" s="22">
        <f t="shared" ref="C11:C21" si="1">4000*1.4</f>
        <v>5600</v>
      </c>
      <c r="D11" s="52"/>
      <c r="E11" s="52"/>
      <c r="F11" s="52"/>
      <c r="G11" s="52"/>
      <c r="H11" s="52"/>
      <c r="I11" s="52"/>
      <c r="J11" s="52"/>
      <c r="K11" s="52"/>
      <c r="L11" s="52"/>
      <c r="M11" s="25">
        <f t="shared" ref="M11:M27" si="2">ROUNDUP(B11*C11*$E$9*$F$9*$G$9*$H$9*$I$9*$L$9*$J$9*$K$9*$D$9/1000,1)*1000</f>
        <v>122300</v>
      </c>
    </row>
    <row r="12" spans="1:14" s="2" customFormat="1" ht="27.6">
      <c r="A12" s="24" t="s">
        <v>4</v>
      </c>
      <c r="B12" s="31">
        <v>19</v>
      </c>
      <c r="C12" s="22">
        <f t="shared" si="1"/>
        <v>5600</v>
      </c>
      <c r="D12" s="52"/>
      <c r="E12" s="52"/>
      <c r="F12" s="52"/>
      <c r="G12" s="52"/>
      <c r="H12" s="52"/>
      <c r="I12" s="52"/>
      <c r="J12" s="52"/>
      <c r="K12" s="52"/>
      <c r="L12" s="52"/>
      <c r="M12" s="25">
        <f t="shared" si="2"/>
        <v>154799.99999999997</v>
      </c>
    </row>
    <row r="13" spans="1:14" s="2" customFormat="1" ht="20.25" customHeight="1">
      <c r="A13" s="24" t="s">
        <v>5</v>
      </c>
      <c r="B13" s="31">
        <v>128</v>
      </c>
      <c r="C13" s="22">
        <f t="shared" si="1"/>
        <v>5600</v>
      </c>
      <c r="D13" s="52"/>
      <c r="E13" s="52"/>
      <c r="F13" s="52"/>
      <c r="G13" s="52"/>
      <c r="H13" s="52"/>
      <c r="I13" s="52"/>
      <c r="J13" s="52"/>
      <c r="K13" s="52"/>
      <c r="L13" s="52"/>
      <c r="M13" s="25">
        <f t="shared" si="2"/>
        <v>1042800</v>
      </c>
    </row>
    <row r="14" spans="1:14" s="2" customFormat="1" ht="27.6">
      <c r="A14" s="24" t="s">
        <v>6</v>
      </c>
      <c r="B14" s="19">
        <v>32</v>
      </c>
      <c r="C14" s="22">
        <f t="shared" si="1"/>
        <v>5600</v>
      </c>
      <c r="D14" s="52"/>
      <c r="E14" s="52"/>
      <c r="F14" s="52"/>
      <c r="G14" s="52"/>
      <c r="H14" s="52"/>
      <c r="I14" s="52"/>
      <c r="J14" s="52"/>
      <c r="K14" s="52"/>
      <c r="L14" s="52"/>
      <c r="M14" s="25">
        <f t="shared" si="2"/>
        <v>260700.00000000006</v>
      </c>
    </row>
    <row r="15" spans="1:14" s="2" customFormat="1" ht="27.6">
      <c r="A15" s="24" t="s">
        <v>7</v>
      </c>
      <c r="B15" s="31">
        <v>1</v>
      </c>
      <c r="C15" s="22">
        <f t="shared" si="1"/>
        <v>5600</v>
      </c>
      <c r="D15" s="52"/>
      <c r="E15" s="52"/>
      <c r="F15" s="52"/>
      <c r="G15" s="52"/>
      <c r="H15" s="52"/>
      <c r="I15" s="52"/>
      <c r="J15" s="52"/>
      <c r="K15" s="52"/>
      <c r="L15" s="52"/>
      <c r="M15" s="25">
        <f t="shared" si="2"/>
        <v>8200</v>
      </c>
    </row>
    <row r="16" spans="1:14" s="2" customFormat="1" ht="20.25" customHeight="1">
      <c r="A16" s="24" t="s">
        <v>8</v>
      </c>
      <c r="B16" s="19">
        <v>9</v>
      </c>
      <c r="C16" s="22">
        <f t="shared" si="1"/>
        <v>5600</v>
      </c>
      <c r="D16" s="52"/>
      <c r="E16" s="52"/>
      <c r="F16" s="52"/>
      <c r="G16" s="52"/>
      <c r="H16" s="52"/>
      <c r="I16" s="52"/>
      <c r="J16" s="52"/>
      <c r="K16" s="52"/>
      <c r="L16" s="52"/>
      <c r="M16" s="25">
        <f t="shared" si="2"/>
        <v>73399.999999999985</v>
      </c>
    </row>
    <row r="17" spans="1:13" s="2" customFormat="1" ht="20.25" customHeight="1">
      <c r="A17" s="24" t="s">
        <v>9</v>
      </c>
      <c r="B17" s="19">
        <v>5</v>
      </c>
      <c r="C17" s="22">
        <f t="shared" si="1"/>
        <v>5600</v>
      </c>
      <c r="D17" s="52"/>
      <c r="E17" s="52"/>
      <c r="F17" s="52"/>
      <c r="G17" s="52"/>
      <c r="H17" s="52"/>
      <c r="I17" s="52"/>
      <c r="J17" s="52"/>
      <c r="K17" s="52"/>
      <c r="L17" s="52"/>
      <c r="M17" s="25">
        <f t="shared" si="2"/>
        <v>40800.000000000007</v>
      </c>
    </row>
    <row r="18" spans="1:13" s="2" customFormat="1" ht="20.25" customHeight="1">
      <c r="A18" s="24" t="s">
        <v>10</v>
      </c>
      <c r="B18" s="31">
        <v>1</v>
      </c>
      <c r="C18" s="22">
        <f>4000*1.8</f>
        <v>7200</v>
      </c>
      <c r="D18" s="52"/>
      <c r="E18" s="52"/>
      <c r="F18" s="52"/>
      <c r="G18" s="52"/>
      <c r="H18" s="52"/>
      <c r="I18" s="52"/>
      <c r="J18" s="52"/>
      <c r="K18" s="52"/>
      <c r="L18" s="52"/>
      <c r="M18" s="25">
        <f t="shared" si="2"/>
        <v>10500</v>
      </c>
    </row>
    <row r="19" spans="1:13" s="2" customFormat="1" ht="20.25" customHeight="1">
      <c r="A19" s="24" t="s">
        <v>11</v>
      </c>
      <c r="B19" s="19">
        <v>50</v>
      </c>
      <c r="C19" s="22">
        <f t="shared" si="1"/>
        <v>5600</v>
      </c>
      <c r="D19" s="52"/>
      <c r="E19" s="52"/>
      <c r="F19" s="52"/>
      <c r="G19" s="52"/>
      <c r="H19" s="52"/>
      <c r="I19" s="52"/>
      <c r="J19" s="52"/>
      <c r="K19" s="52"/>
      <c r="L19" s="52"/>
      <c r="M19" s="25">
        <f t="shared" si="2"/>
        <v>407400.00000000006</v>
      </c>
    </row>
    <row r="20" spans="1:13" s="2" customFormat="1" ht="20.25" customHeight="1">
      <c r="A20" s="24" t="s">
        <v>12</v>
      </c>
      <c r="B20" s="19">
        <v>1</v>
      </c>
      <c r="C20" s="22">
        <f t="shared" si="1"/>
        <v>5600</v>
      </c>
      <c r="D20" s="52"/>
      <c r="E20" s="52"/>
      <c r="F20" s="52"/>
      <c r="G20" s="52"/>
      <c r="H20" s="52"/>
      <c r="I20" s="52"/>
      <c r="J20" s="52"/>
      <c r="K20" s="52"/>
      <c r="L20" s="52"/>
      <c r="M20" s="25">
        <f t="shared" si="2"/>
        <v>8200</v>
      </c>
    </row>
    <row r="21" spans="1:13" s="2" customFormat="1" ht="20.25" customHeight="1">
      <c r="A21" s="24" t="s">
        <v>13</v>
      </c>
      <c r="B21" s="31">
        <v>10</v>
      </c>
      <c r="C21" s="22">
        <f t="shared" si="1"/>
        <v>5600</v>
      </c>
      <c r="D21" s="52"/>
      <c r="E21" s="52"/>
      <c r="F21" s="52"/>
      <c r="G21" s="52"/>
      <c r="H21" s="52"/>
      <c r="I21" s="52"/>
      <c r="J21" s="52"/>
      <c r="K21" s="52"/>
      <c r="L21" s="52"/>
      <c r="M21" s="25">
        <f t="shared" si="2"/>
        <v>81500</v>
      </c>
    </row>
    <row r="22" spans="1:13" ht="26.25" customHeight="1">
      <c r="A22" s="23" t="s">
        <v>14</v>
      </c>
      <c r="B22" s="16">
        <v>45</v>
      </c>
      <c r="C22" s="16"/>
      <c r="D22" s="52"/>
      <c r="E22" s="52"/>
      <c r="F22" s="52"/>
      <c r="G22" s="52"/>
      <c r="H22" s="52"/>
      <c r="I22" s="52"/>
      <c r="J22" s="52"/>
      <c r="K22" s="52"/>
      <c r="L22" s="52"/>
      <c r="M22" s="17">
        <f>SUM(M23:M27)</f>
        <v>350500</v>
      </c>
    </row>
    <row r="23" spans="1:13" s="2" customFormat="1" ht="20.25" customHeight="1">
      <c r="A23" s="24" t="s">
        <v>15</v>
      </c>
      <c r="B23" s="32">
        <v>12</v>
      </c>
      <c r="C23" s="22">
        <f t="shared" ref="C23:C27" si="3">4000*1.4</f>
        <v>5600</v>
      </c>
      <c r="D23" s="52"/>
      <c r="E23" s="52"/>
      <c r="F23" s="52"/>
      <c r="G23" s="52"/>
      <c r="H23" s="52"/>
      <c r="I23" s="52"/>
      <c r="J23" s="52"/>
      <c r="K23" s="52"/>
      <c r="L23" s="52"/>
      <c r="M23" s="25">
        <f t="shared" si="2"/>
        <v>97800</v>
      </c>
    </row>
    <row r="24" spans="1:13" s="2" customFormat="1" ht="20.25" customHeight="1">
      <c r="A24" s="24" t="s">
        <v>16</v>
      </c>
      <c r="B24" s="19">
        <v>14</v>
      </c>
      <c r="C24" s="22">
        <f t="shared" si="3"/>
        <v>5600</v>
      </c>
      <c r="D24" s="52"/>
      <c r="E24" s="52"/>
      <c r="F24" s="52"/>
      <c r="G24" s="52"/>
      <c r="H24" s="52"/>
      <c r="I24" s="52"/>
      <c r="J24" s="52"/>
      <c r="K24" s="52"/>
      <c r="L24" s="52"/>
      <c r="M24" s="25">
        <f t="shared" si="2"/>
        <v>114100</v>
      </c>
    </row>
    <row r="25" spans="1:13" s="2" customFormat="1" ht="20.25" customHeight="1">
      <c r="A25" s="24" t="s">
        <v>17</v>
      </c>
      <c r="B25" s="31">
        <v>6</v>
      </c>
      <c r="C25" s="22">
        <f t="shared" si="3"/>
        <v>5600</v>
      </c>
      <c r="D25" s="52"/>
      <c r="E25" s="52"/>
      <c r="F25" s="52"/>
      <c r="G25" s="52"/>
      <c r="H25" s="52"/>
      <c r="I25" s="52"/>
      <c r="J25" s="52"/>
      <c r="K25" s="52"/>
      <c r="L25" s="52"/>
      <c r="M25" s="25">
        <f t="shared" si="2"/>
        <v>48900</v>
      </c>
    </row>
    <row r="26" spans="1:13" s="2" customFormat="1" ht="20.25" customHeight="1">
      <c r="A26" s="24" t="s">
        <v>18</v>
      </c>
      <c r="B26" s="19">
        <v>8</v>
      </c>
      <c r="C26" s="22">
        <f t="shared" si="3"/>
        <v>5600</v>
      </c>
      <c r="D26" s="52"/>
      <c r="E26" s="52"/>
      <c r="F26" s="52"/>
      <c r="G26" s="52"/>
      <c r="H26" s="52"/>
      <c r="I26" s="52"/>
      <c r="J26" s="52"/>
      <c r="K26" s="52"/>
      <c r="L26" s="52"/>
      <c r="M26" s="25">
        <f t="shared" si="2"/>
        <v>65199.999999999985</v>
      </c>
    </row>
    <row r="27" spans="1:13" s="2" customFormat="1" ht="20.25" customHeight="1">
      <c r="A27" s="24" t="s">
        <v>19</v>
      </c>
      <c r="B27" s="19">
        <v>3</v>
      </c>
      <c r="C27" s="22">
        <f t="shared" si="3"/>
        <v>5600</v>
      </c>
      <c r="D27" s="52"/>
      <c r="E27" s="52"/>
      <c r="F27" s="52"/>
      <c r="G27" s="52"/>
      <c r="H27" s="52"/>
      <c r="I27" s="52"/>
      <c r="J27" s="52"/>
      <c r="K27" s="52"/>
      <c r="L27" s="52"/>
      <c r="M27" s="25">
        <f t="shared" si="2"/>
        <v>24500</v>
      </c>
    </row>
    <row r="28" spans="1:13" ht="29.25" customHeight="1">
      <c r="A28" s="23" t="s">
        <v>32</v>
      </c>
      <c r="B28" s="16">
        <v>328</v>
      </c>
      <c r="C28" s="16"/>
      <c r="D28" s="53"/>
      <c r="E28" s="53"/>
      <c r="F28" s="53"/>
      <c r="G28" s="53"/>
      <c r="H28" s="53"/>
      <c r="I28" s="53"/>
      <c r="J28" s="53"/>
      <c r="K28" s="53"/>
      <c r="L28" s="53"/>
      <c r="M28" s="17">
        <f>M22+M9</f>
        <v>2707800</v>
      </c>
    </row>
    <row r="30" spans="1:13">
      <c r="K30" s="60" t="s">
        <v>54</v>
      </c>
      <c r="L30" s="60"/>
      <c r="M30" s="36">
        <v>2615100</v>
      </c>
    </row>
    <row r="31" spans="1:13">
      <c r="J31" s="61" t="s">
        <v>55</v>
      </c>
      <c r="K31" s="61"/>
      <c r="L31" s="61"/>
      <c r="M31" s="36">
        <f>M28-2615100</f>
        <v>92700</v>
      </c>
    </row>
  </sheetData>
  <autoFilter ref="A8:O28"/>
  <mergeCells count="21">
    <mergeCell ref="F9:F28"/>
    <mergeCell ref="G9:G28"/>
    <mergeCell ref="H9:H28"/>
    <mergeCell ref="I9:I28"/>
    <mergeCell ref="J9:J28"/>
    <mergeCell ref="K30:L30"/>
    <mergeCell ref="J31:L31"/>
    <mergeCell ref="A2:M2"/>
    <mergeCell ref="A3:M3"/>
    <mergeCell ref="A4:M4"/>
    <mergeCell ref="A5:A6"/>
    <mergeCell ref="B5:B6"/>
    <mergeCell ref="C5:C6"/>
    <mergeCell ref="E5:E6"/>
    <mergeCell ref="F5:L5"/>
    <mergeCell ref="M5:M6"/>
    <mergeCell ref="D5:D6"/>
    <mergeCell ref="D9:D28"/>
    <mergeCell ref="L9:L28"/>
    <mergeCell ref="K9:K28"/>
    <mergeCell ref="E9:E28"/>
  </mergeCells>
  <pageMargins left="0.7" right="0.7" top="0.75" bottom="0.75" header="0.3" footer="0.3"/>
  <pageSetup paperSize="9" scale="58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2:N31"/>
  <sheetViews>
    <sheetView tabSelected="1" topLeftCell="B14" zoomScaleNormal="100" workbookViewId="0">
      <selection activeCell="D32" sqref="D32"/>
    </sheetView>
  </sheetViews>
  <sheetFormatPr defaultRowHeight="14.4"/>
  <cols>
    <col min="1" max="1" width="41.88671875" customWidth="1"/>
    <col min="2" max="2" width="24.6640625" customWidth="1"/>
    <col min="3" max="4" width="18.88671875" customWidth="1"/>
    <col min="5" max="5" width="18.6640625" customWidth="1"/>
    <col min="6" max="13" width="9.5546875" customWidth="1"/>
    <col min="14" max="14" width="22.88671875" customWidth="1"/>
  </cols>
  <sheetData>
    <row r="2" spans="1:14" ht="34.5" customHeight="1">
      <c r="A2" s="43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</row>
    <row r="3" spans="1:14" ht="72" customHeight="1">
      <c r="A3" s="44" t="s">
        <v>49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</row>
    <row r="4" spans="1:14" ht="28.5" customHeight="1">
      <c r="A4" s="45" t="s">
        <v>29</v>
      </c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</row>
    <row r="5" spans="1:14" s="18" customFormat="1" ht="98.25" customHeight="1">
      <c r="A5" s="49" t="s">
        <v>30</v>
      </c>
      <c r="B5" s="49" t="s">
        <v>34</v>
      </c>
      <c r="C5" s="49" t="s">
        <v>43</v>
      </c>
      <c r="D5" s="49" t="s">
        <v>51</v>
      </c>
      <c r="E5" s="49" t="s">
        <v>36</v>
      </c>
      <c r="F5" s="46" t="s">
        <v>35</v>
      </c>
      <c r="G5" s="47"/>
      <c r="H5" s="47"/>
      <c r="I5" s="47"/>
      <c r="J5" s="47"/>
      <c r="K5" s="47"/>
      <c r="L5" s="47"/>
      <c r="M5" s="48"/>
      <c r="N5" s="49" t="s">
        <v>39</v>
      </c>
    </row>
    <row r="6" spans="1:14" ht="21" customHeight="1">
      <c r="A6" s="50"/>
      <c r="B6" s="50"/>
      <c r="C6" s="50"/>
      <c r="D6" s="50"/>
      <c r="E6" s="50"/>
      <c r="F6" s="30" t="s">
        <v>37</v>
      </c>
      <c r="G6" s="30" t="s">
        <v>38</v>
      </c>
      <c r="H6" s="30" t="s">
        <v>40</v>
      </c>
      <c r="I6" s="30" t="s">
        <v>41</v>
      </c>
      <c r="J6" s="30" t="s">
        <v>42</v>
      </c>
      <c r="K6" s="30" t="s">
        <v>45</v>
      </c>
      <c r="L6" s="30" t="s">
        <v>46</v>
      </c>
      <c r="M6" s="30" t="s">
        <v>50</v>
      </c>
      <c r="N6" s="63"/>
    </row>
    <row r="7" spans="1:14" ht="21" hidden="1" customHeight="1">
      <c r="A7" s="39"/>
      <c r="B7" s="39"/>
      <c r="C7" s="39"/>
      <c r="D7" s="39"/>
      <c r="E7" s="39">
        <v>2021</v>
      </c>
      <c r="F7" s="38">
        <v>2013</v>
      </c>
      <c r="G7" s="38">
        <v>2014</v>
      </c>
      <c r="H7" s="38">
        <v>2015</v>
      </c>
      <c r="I7" s="38">
        <v>2016</v>
      </c>
      <c r="J7" s="38">
        <v>2017</v>
      </c>
      <c r="K7" s="38">
        <v>2018</v>
      </c>
      <c r="L7" s="38">
        <v>2019</v>
      </c>
      <c r="M7" s="38">
        <v>2020</v>
      </c>
      <c r="N7" s="50"/>
    </row>
    <row r="8" spans="1:14" s="18" customFormat="1">
      <c r="A8" s="21">
        <v>1</v>
      </c>
      <c r="B8" s="21">
        <v>2</v>
      </c>
      <c r="C8" s="21">
        <v>3</v>
      </c>
      <c r="D8" s="21">
        <v>4</v>
      </c>
      <c r="E8" s="21">
        <v>5</v>
      </c>
      <c r="F8" s="21">
        <v>6</v>
      </c>
      <c r="G8" s="21">
        <v>7</v>
      </c>
      <c r="H8" s="21">
        <v>8</v>
      </c>
      <c r="I8" s="21">
        <v>9</v>
      </c>
      <c r="J8" s="21">
        <v>10</v>
      </c>
      <c r="K8" s="21">
        <v>11</v>
      </c>
      <c r="L8" s="21">
        <v>12</v>
      </c>
      <c r="M8" s="21">
        <v>13</v>
      </c>
      <c r="N8" s="21">
        <v>14</v>
      </c>
    </row>
    <row r="9" spans="1:14" ht="35.25" customHeight="1">
      <c r="A9" s="23" t="s">
        <v>31</v>
      </c>
      <c r="B9" s="16">
        <f>SUM(B10:B21)</f>
        <v>273</v>
      </c>
      <c r="C9" s="16"/>
      <c r="D9" s="51">
        <v>1.0149999999999999</v>
      </c>
      <c r="E9" s="51">
        <v>1.04</v>
      </c>
      <c r="F9" s="51">
        <v>1.0549999999999999</v>
      </c>
      <c r="G9" s="51">
        <v>1.05</v>
      </c>
      <c r="H9" s="51">
        <v>1.0449999999999999</v>
      </c>
      <c r="I9" s="51">
        <v>1.04</v>
      </c>
      <c r="J9" s="51">
        <v>1.119</v>
      </c>
      <c r="K9" s="51">
        <v>1.04</v>
      </c>
      <c r="L9" s="51">
        <v>1.04</v>
      </c>
      <c r="M9" s="51">
        <v>1.0349999999999999</v>
      </c>
      <c r="N9" s="17">
        <f t="shared" ref="N9" si="0">SUM(N10:N21)</f>
        <v>2436900</v>
      </c>
    </row>
    <row r="10" spans="1:14" s="2" customFormat="1" ht="20.25" customHeight="1">
      <c r="A10" s="24" t="s">
        <v>2</v>
      </c>
      <c r="B10" s="26">
        <v>20</v>
      </c>
      <c r="C10" s="22">
        <f>4000*1.4</f>
        <v>5600</v>
      </c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25">
        <f>ROUNDUP(B10*C10*$E$9*$F$9*$G$9*$H$9*$I$9*$M$9*$J$9*$K$9*$L$9*$D$9/1000,1)*1000</f>
        <v>178299.99999999997</v>
      </c>
    </row>
    <row r="11" spans="1:14" s="2" customFormat="1" ht="20.25" customHeight="1">
      <c r="A11" s="24" t="s">
        <v>3</v>
      </c>
      <c r="B11" s="19">
        <v>5</v>
      </c>
      <c r="C11" s="22">
        <f t="shared" ref="C11:C21" si="1">4000*1.4</f>
        <v>5600</v>
      </c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25">
        <f t="shared" ref="N11:N27" si="2">ROUNDUP(B11*C11*$E$9*$F$9*$G$9*$H$9*$I$9*$M$9*$J$9*$K$9*$L$9*$D$9/1000,1)*1000</f>
        <v>44600</v>
      </c>
    </row>
    <row r="12" spans="1:14" s="2" customFormat="1" ht="27.6">
      <c r="A12" s="24" t="s">
        <v>4</v>
      </c>
      <c r="B12" s="19">
        <v>19</v>
      </c>
      <c r="C12" s="22">
        <f t="shared" si="1"/>
        <v>5600</v>
      </c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25">
        <f t="shared" si="2"/>
        <v>169400</v>
      </c>
    </row>
    <row r="13" spans="1:14" s="2" customFormat="1" ht="20.25" customHeight="1">
      <c r="A13" s="24" t="s">
        <v>5</v>
      </c>
      <c r="B13" s="19">
        <v>130</v>
      </c>
      <c r="C13" s="22">
        <f t="shared" si="1"/>
        <v>5600</v>
      </c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25">
        <f t="shared" si="2"/>
        <v>1159000</v>
      </c>
    </row>
    <row r="14" spans="1:14" s="2" customFormat="1" ht="27.6">
      <c r="A14" s="24" t="s">
        <v>6</v>
      </c>
      <c r="B14" s="19">
        <v>29</v>
      </c>
      <c r="C14" s="22">
        <f t="shared" si="1"/>
        <v>5600</v>
      </c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25">
        <f t="shared" si="2"/>
        <v>258600.00000000003</v>
      </c>
    </row>
    <row r="15" spans="1:14" s="2" customFormat="1" ht="27.6">
      <c r="A15" s="24" t="s">
        <v>7</v>
      </c>
      <c r="B15" s="19">
        <v>1</v>
      </c>
      <c r="C15" s="22">
        <f t="shared" si="1"/>
        <v>5600</v>
      </c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25">
        <f t="shared" si="2"/>
        <v>9000</v>
      </c>
    </row>
    <row r="16" spans="1:14" s="2" customFormat="1" ht="20.25" customHeight="1">
      <c r="A16" s="24" t="s">
        <v>8</v>
      </c>
      <c r="B16" s="19">
        <v>5</v>
      </c>
      <c r="C16" s="22">
        <f t="shared" si="1"/>
        <v>5600</v>
      </c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25">
        <f t="shared" si="2"/>
        <v>44600</v>
      </c>
    </row>
    <row r="17" spans="1:14" s="2" customFormat="1" ht="20.25" customHeight="1">
      <c r="A17" s="24" t="s">
        <v>9</v>
      </c>
      <c r="B17" s="19">
        <v>5</v>
      </c>
      <c r="C17" s="22">
        <f t="shared" si="1"/>
        <v>5600</v>
      </c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25">
        <f t="shared" si="2"/>
        <v>44600</v>
      </c>
    </row>
    <row r="18" spans="1:14" s="2" customFormat="1" ht="20.25" customHeight="1">
      <c r="A18" s="24" t="s">
        <v>10</v>
      </c>
      <c r="B18" s="19">
        <v>1</v>
      </c>
      <c r="C18" s="22">
        <f>4000*1.8</f>
        <v>7200</v>
      </c>
      <c r="D18" s="52"/>
      <c r="E18" s="52"/>
      <c r="F18" s="52"/>
      <c r="G18" s="52"/>
      <c r="H18" s="52"/>
      <c r="I18" s="52"/>
      <c r="J18" s="52"/>
      <c r="K18" s="52"/>
      <c r="L18" s="52"/>
      <c r="M18" s="52"/>
      <c r="N18" s="25">
        <f t="shared" si="2"/>
        <v>11500</v>
      </c>
    </row>
    <row r="19" spans="1:14" s="2" customFormat="1" ht="20.25" customHeight="1">
      <c r="A19" s="24" t="s">
        <v>11</v>
      </c>
      <c r="B19" s="19">
        <v>50</v>
      </c>
      <c r="C19" s="22">
        <f t="shared" si="1"/>
        <v>5600</v>
      </c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25">
        <f t="shared" si="2"/>
        <v>445800</v>
      </c>
    </row>
    <row r="20" spans="1:14" s="2" customFormat="1" ht="20.25" customHeight="1">
      <c r="A20" s="24" t="s">
        <v>12</v>
      </c>
      <c r="B20" s="19">
        <v>1</v>
      </c>
      <c r="C20" s="22">
        <f t="shared" si="1"/>
        <v>5600</v>
      </c>
      <c r="D20" s="52"/>
      <c r="E20" s="52"/>
      <c r="F20" s="52"/>
      <c r="G20" s="52"/>
      <c r="H20" s="52"/>
      <c r="I20" s="52"/>
      <c r="J20" s="52"/>
      <c r="K20" s="52"/>
      <c r="L20" s="52"/>
      <c r="M20" s="52"/>
      <c r="N20" s="25">
        <f t="shared" si="2"/>
        <v>9000</v>
      </c>
    </row>
    <row r="21" spans="1:14" s="2" customFormat="1" ht="20.25" customHeight="1">
      <c r="A21" s="24" t="s">
        <v>13</v>
      </c>
      <c r="B21" s="19">
        <v>7</v>
      </c>
      <c r="C21" s="22">
        <f t="shared" si="1"/>
        <v>5600</v>
      </c>
      <c r="D21" s="52"/>
      <c r="E21" s="52"/>
      <c r="F21" s="52"/>
      <c r="G21" s="52"/>
      <c r="H21" s="52"/>
      <c r="I21" s="52"/>
      <c r="J21" s="52"/>
      <c r="K21" s="52"/>
      <c r="L21" s="52"/>
      <c r="M21" s="52"/>
      <c r="N21" s="25">
        <f t="shared" si="2"/>
        <v>62500</v>
      </c>
    </row>
    <row r="22" spans="1:14" ht="26.25" customHeight="1">
      <c r="A22" s="23" t="s">
        <v>14</v>
      </c>
      <c r="B22" s="16">
        <f>SUM(B23:B27)</f>
        <v>56</v>
      </c>
      <c r="C22" s="16"/>
      <c r="D22" s="52"/>
      <c r="E22" s="52"/>
      <c r="F22" s="52"/>
      <c r="G22" s="52"/>
      <c r="H22" s="52"/>
      <c r="I22" s="52"/>
      <c r="J22" s="52"/>
      <c r="K22" s="52"/>
      <c r="L22" s="52"/>
      <c r="M22" s="52"/>
      <c r="N22" s="17">
        <f>SUM(N23:N27)</f>
        <v>499500</v>
      </c>
    </row>
    <row r="23" spans="1:14" s="2" customFormat="1" ht="20.25" customHeight="1">
      <c r="A23" s="24" t="s">
        <v>15</v>
      </c>
      <c r="B23" s="26">
        <v>18</v>
      </c>
      <c r="C23" s="22">
        <f t="shared" ref="C23:C27" si="3">4000*1.4</f>
        <v>5600</v>
      </c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25">
        <f t="shared" si="2"/>
        <v>160500</v>
      </c>
    </row>
    <row r="24" spans="1:14" s="2" customFormat="1" ht="20.25" customHeight="1">
      <c r="A24" s="24" t="s">
        <v>16</v>
      </c>
      <c r="B24" s="19">
        <v>14</v>
      </c>
      <c r="C24" s="22">
        <f t="shared" si="3"/>
        <v>5600</v>
      </c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25">
        <f t="shared" si="2"/>
        <v>124899.99999999999</v>
      </c>
    </row>
    <row r="25" spans="1:14" s="2" customFormat="1" ht="20.25" customHeight="1">
      <c r="A25" s="24" t="s">
        <v>17</v>
      </c>
      <c r="B25" s="19">
        <v>3</v>
      </c>
      <c r="C25" s="22">
        <f t="shared" si="3"/>
        <v>5600</v>
      </c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25">
        <f t="shared" si="2"/>
        <v>26800</v>
      </c>
    </row>
    <row r="26" spans="1:14" s="2" customFormat="1" ht="20.25" customHeight="1">
      <c r="A26" s="24" t="s">
        <v>18</v>
      </c>
      <c r="B26" s="19">
        <v>18</v>
      </c>
      <c r="C26" s="22">
        <f t="shared" si="3"/>
        <v>5600</v>
      </c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25">
        <f t="shared" si="2"/>
        <v>160500</v>
      </c>
    </row>
    <row r="27" spans="1:14" s="2" customFormat="1" ht="20.25" customHeight="1">
      <c r="A27" s="24" t="s">
        <v>19</v>
      </c>
      <c r="B27" s="19">
        <v>3</v>
      </c>
      <c r="C27" s="22">
        <f t="shared" si="3"/>
        <v>5600</v>
      </c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25">
        <f t="shared" si="2"/>
        <v>26800</v>
      </c>
    </row>
    <row r="28" spans="1:14" ht="29.25" customHeight="1">
      <c r="A28" s="23" t="s">
        <v>32</v>
      </c>
      <c r="B28" s="16">
        <f>B9+B22</f>
        <v>329</v>
      </c>
      <c r="C28" s="16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17">
        <f>N22+N9</f>
        <v>2936400</v>
      </c>
    </row>
    <row r="30" spans="1:14">
      <c r="K30" s="61"/>
      <c r="L30" s="61"/>
      <c r="M30" s="61"/>
      <c r="N30" s="36"/>
    </row>
    <row r="31" spans="1:14">
      <c r="K31" s="61"/>
      <c r="L31" s="61"/>
      <c r="M31" s="61"/>
      <c r="N31" s="36"/>
    </row>
  </sheetData>
  <autoFilter ref="A8:N28"/>
  <mergeCells count="22">
    <mergeCell ref="J9:J28"/>
    <mergeCell ref="E9:E28"/>
    <mergeCell ref="F9:F28"/>
    <mergeCell ref="G9:G28"/>
    <mergeCell ref="H9:H28"/>
    <mergeCell ref="I9:I28"/>
    <mergeCell ref="N5:N7"/>
    <mergeCell ref="K30:M30"/>
    <mergeCell ref="K31:M31"/>
    <mergeCell ref="A2:N2"/>
    <mergeCell ref="A3:N3"/>
    <mergeCell ref="A4:N4"/>
    <mergeCell ref="A5:A6"/>
    <mergeCell ref="B5:B6"/>
    <mergeCell ref="C5:C6"/>
    <mergeCell ref="E5:E6"/>
    <mergeCell ref="F5:M5"/>
    <mergeCell ref="K9:K28"/>
    <mergeCell ref="M9:M28"/>
    <mergeCell ref="L9:L28"/>
    <mergeCell ref="D5:D6"/>
    <mergeCell ref="D9:D28"/>
  </mergeCells>
  <pageMargins left="0.25" right="0.25" top="0.48" bottom="0.33" header="0.3" footer="0.17"/>
  <pageSetup paperSize="9" scale="6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2:P28"/>
  <sheetViews>
    <sheetView tabSelected="1" topLeftCell="B3" zoomScaleNormal="100" workbookViewId="0">
      <selection activeCell="D32" sqref="D32"/>
    </sheetView>
  </sheetViews>
  <sheetFormatPr defaultRowHeight="14.4"/>
  <cols>
    <col min="1" max="1" width="41.88671875" customWidth="1"/>
    <col min="2" max="2" width="24.6640625" customWidth="1"/>
    <col min="3" max="3" width="18.88671875" customWidth="1"/>
    <col min="4" max="4" width="11.44140625" customWidth="1"/>
    <col min="5" max="5" width="15.88671875" customWidth="1"/>
    <col min="6" max="14" width="9.5546875" customWidth="1"/>
    <col min="15" max="15" width="22.88671875" customWidth="1"/>
    <col min="16" max="16" width="11" hidden="1" customWidth="1"/>
  </cols>
  <sheetData>
    <row r="2" spans="1:16" ht="34.5" customHeight="1">
      <c r="A2" s="43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</row>
    <row r="3" spans="1:16" ht="72" customHeight="1">
      <c r="A3" s="44" t="s">
        <v>57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</row>
    <row r="4" spans="1:16" ht="28.5" customHeight="1">
      <c r="A4" s="45" t="s">
        <v>29</v>
      </c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</row>
    <row r="5" spans="1:16" s="18" customFormat="1" ht="98.25" customHeight="1">
      <c r="A5" s="49" t="s">
        <v>30</v>
      </c>
      <c r="B5" s="49" t="s">
        <v>34</v>
      </c>
      <c r="C5" s="49" t="s">
        <v>43</v>
      </c>
      <c r="D5" s="49" t="s">
        <v>51</v>
      </c>
      <c r="E5" s="49" t="s">
        <v>36</v>
      </c>
      <c r="F5" s="46" t="s">
        <v>35</v>
      </c>
      <c r="G5" s="47"/>
      <c r="H5" s="47"/>
      <c r="I5" s="47"/>
      <c r="J5" s="47"/>
      <c r="K5" s="47"/>
      <c r="L5" s="47"/>
      <c r="M5" s="47"/>
      <c r="N5" s="48"/>
      <c r="O5" s="49" t="s">
        <v>39</v>
      </c>
    </row>
    <row r="6" spans="1:16" ht="31.5" customHeight="1">
      <c r="A6" s="50"/>
      <c r="B6" s="50"/>
      <c r="C6" s="50"/>
      <c r="D6" s="50"/>
      <c r="E6" s="50"/>
      <c r="F6" s="37" t="s">
        <v>37</v>
      </c>
      <c r="G6" s="37" t="s">
        <v>38</v>
      </c>
      <c r="H6" s="37" t="s">
        <v>40</v>
      </c>
      <c r="I6" s="37" t="s">
        <v>41</v>
      </c>
      <c r="J6" s="37" t="s">
        <v>42</v>
      </c>
      <c r="K6" s="37" t="s">
        <v>45</v>
      </c>
      <c r="L6" s="37" t="s">
        <v>46</v>
      </c>
      <c r="M6" s="37" t="s">
        <v>50</v>
      </c>
      <c r="N6" s="37" t="s">
        <v>58</v>
      </c>
      <c r="O6" s="63"/>
    </row>
    <row r="7" spans="1:16" ht="21" hidden="1" customHeight="1">
      <c r="A7" s="39"/>
      <c r="B7" s="39"/>
      <c r="C7" s="39"/>
      <c r="D7" s="39"/>
      <c r="E7" s="39">
        <v>2022</v>
      </c>
      <c r="F7" s="38">
        <v>2013</v>
      </c>
      <c r="G7" s="38">
        <v>2014</v>
      </c>
      <c r="H7" s="38">
        <v>2015</v>
      </c>
      <c r="I7" s="38">
        <v>2016</v>
      </c>
      <c r="J7" s="38">
        <v>2017</v>
      </c>
      <c r="K7" s="38">
        <v>2018</v>
      </c>
      <c r="L7" s="38">
        <v>2019</v>
      </c>
      <c r="M7" s="38">
        <v>2020</v>
      </c>
      <c r="N7" s="38">
        <v>2021</v>
      </c>
      <c r="O7" s="50"/>
    </row>
    <row r="8" spans="1:16" s="18" customFormat="1">
      <c r="A8" s="21">
        <v>1</v>
      </c>
      <c r="B8" s="21">
        <v>2</v>
      </c>
      <c r="C8" s="21">
        <v>3</v>
      </c>
      <c r="D8" s="21">
        <v>4</v>
      </c>
      <c r="E8" s="21">
        <v>5</v>
      </c>
      <c r="F8" s="21">
        <v>6</v>
      </c>
      <c r="G8" s="21">
        <v>7</v>
      </c>
      <c r="H8" s="21">
        <v>8</v>
      </c>
      <c r="I8" s="21">
        <v>9</v>
      </c>
      <c r="J8" s="21">
        <v>10</v>
      </c>
      <c r="K8" s="21">
        <v>11</v>
      </c>
      <c r="L8" s="21">
        <v>12</v>
      </c>
      <c r="M8" s="21">
        <v>13</v>
      </c>
      <c r="N8" s="21">
        <v>14</v>
      </c>
      <c r="O8" s="21">
        <v>15</v>
      </c>
    </row>
    <row r="9" spans="1:16" ht="35.25" customHeight="1">
      <c r="A9" s="23" t="s">
        <v>31</v>
      </c>
      <c r="B9" s="16">
        <f>SUM(B10:B21)</f>
        <v>274</v>
      </c>
      <c r="C9" s="16"/>
      <c r="D9" s="51">
        <v>1.0149999999999999</v>
      </c>
      <c r="E9" s="51">
        <v>1.04</v>
      </c>
      <c r="F9" s="51">
        <v>1.0549999999999999</v>
      </c>
      <c r="G9" s="51">
        <v>1.05</v>
      </c>
      <c r="H9" s="51">
        <v>1.0449999999999999</v>
      </c>
      <c r="I9" s="51">
        <v>1.04</v>
      </c>
      <c r="J9" s="51">
        <v>1.119</v>
      </c>
      <c r="K9" s="51">
        <v>1.04</v>
      </c>
      <c r="L9" s="51">
        <v>1.04</v>
      </c>
      <c r="M9" s="51">
        <v>1.0349999999999999</v>
      </c>
      <c r="N9" s="51">
        <v>1.04</v>
      </c>
      <c r="O9" s="17">
        <f t="shared" ref="O9" si="0">SUM(O10:O21)</f>
        <v>2543600</v>
      </c>
    </row>
    <row r="10" spans="1:16" s="2" customFormat="1" ht="20.25" customHeight="1">
      <c r="A10" s="24" t="s">
        <v>2</v>
      </c>
      <c r="B10" s="26">
        <v>20</v>
      </c>
      <c r="C10" s="22">
        <f>4000*1.4</f>
        <v>5600</v>
      </c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25">
        <f>ROUNDUP(B10*C10*$E$9*$F$9*$G$9*$H$9*$I$9*$M$9*$J$9*$K$9*$L$9*$D$9*$N$9/1000,1)*1000</f>
        <v>185500</v>
      </c>
      <c r="P10" s="2">
        <f>C10*$F$9*$G$9*$H$9*$I$9*$J$9*$K$9*$L$9*$M$9*$N$9</f>
        <v>8783.1413018702824</v>
      </c>
    </row>
    <row r="11" spans="1:16" s="2" customFormat="1" ht="20.25" customHeight="1">
      <c r="A11" s="24" t="s">
        <v>3</v>
      </c>
      <c r="B11" s="19">
        <v>5</v>
      </c>
      <c r="C11" s="22">
        <f t="shared" ref="C11:C21" si="1">4000*1.4</f>
        <v>5600</v>
      </c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25">
        <f t="shared" ref="O11:O21" si="2">ROUNDUP(B11*C11*$E$9*$F$9*$G$9*$H$9*$I$9*$M$9*$J$9*$K$9*$L$9*$D$9*$N$9/1000,1)*1000</f>
        <v>46400</v>
      </c>
      <c r="P11" s="2">
        <f t="shared" ref="P11:P28" si="3">C11*$E$9*$F$9*$G$9*$H$9*$I$9*$J$9*$K$9*$L$9*$M$9*$N$9</f>
        <v>9134.4669539450933</v>
      </c>
    </row>
    <row r="12" spans="1:16" s="2" customFormat="1" ht="27.6">
      <c r="A12" s="24" t="s">
        <v>4</v>
      </c>
      <c r="B12" s="19">
        <v>19</v>
      </c>
      <c r="C12" s="22">
        <f t="shared" si="1"/>
        <v>5600</v>
      </c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25">
        <f t="shared" si="2"/>
        <v>176200</v>
      </c>
      <c r="P12" s="2">
        <f t="shared" si="3"/>
        <v>9134.4669539450933</v>
      </c>
    </row>
    <row r="13" spans="1:16" s="2" customFormat="1" ht="20.25" customHeight="1">
      <c r="A13" s="24" t="s">
        <v>5</v>
      </c>
      <c r="B13" s="19">
        <v>130</v>
      </c>
      <c r="C13" s="22">
        <f t="shared" si="1"/>
        <v>5600</v>
      </c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  <c r="O13" s="25">
        <f t="shared" si="2"/>
        <v>1205300</v>
      </c>
      <c r="P13" s="2">
        <f t="shared" si="3"/>
        <v>9134.4669539450933</v>
      </c>
    </row>
    <row r="14" spans="1:16" s="2" customFormat="1" ht="27.6">
      <c r="A14" s="24" t="s">
        <v>6</v>
      </c>
      <c r="B14" s="19">
        <v>30</v>
      </c>
      <c r="C14" s="22">
        <f t="shared" si="1"/>
        <v>5600</v>
      </c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25">
        <f t="shared" si="2"/>
        <v>278200.00000000006</v>
      </c>
      <c r="P14" s="2">
        <f t="shared" si="3"/>
        <v>9134.4669539450933</v>
      </c>
    </row>
    <row r="15" spans="1:16" s="2" customFormat="1" ht="27.6">
      <c r="A15" s="24" t="s">
        <v>7</v>
      </c>
      <c r="B15" s="19">
        <v>1</v>
      </c>
      <c r="C15" s="22">
        <f t="shared" si="1"/>
        <v>5600</v>
      </c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25">
        <f t="shared" si="2"/>
        <v>9299.9999999999982</v>
      </c>
      <c r="P15" s="2">
        <f t="shared" si="3"/>
        <v>9134.4669539450933</v>
      </c>
    </row>
    <row r="16" spans="1:16" s="2" customFormat="1" ht="20.25" customHeight="1">
      <c r="A16" s="24" t="s">
        <v>8</v>
      </c>
      <c r="B16" s="19">
        <v>5</v>
      </c>
      <c r="C16" s="22">
        <f t="shared" si="1"/>
        <v>5600</v>
      </c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2"/>
      <c r="O16" s="25">
        <f t="shared" si="2"/>
        <v>46400</v>
      </c>
      <c r="P16" s="2">
        <f t="shared" si="3"/>
        <v>9134.4669539450933</v>
      </c>
    </row>
    <row r="17" spans="1:16" s="2" customFormat="1" ht="20.25" customHeight="1">
      <c r="A17" s="24" t="s">
        <v>9</v>
      </c>
      <c r="B17" s="19">
        <v>5</v>
      </c>
      <c r="C17" s="22">
        <f t="shared" si="1"/>
        <v>5600</v>
      </c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2"/>
      <c r="O17" s="25">
        <f t="shared" si="2"/>
        <v>46400</v>
      </c>
      <c r="P17" s="2">
        <f t="shared" si="3"/>
        <v>9134.4669539450933</v>
      </c>
    </row>
    <row r="18" spans="1:16" s="2" customFormat="1" ht="13.8">
      <c r="A18" s="24" t="s">
        <v>10</v>
      </c>
      <c r="B18" s="19">
        <v>1</v>
      </c>
      <c r="C18" s="22">
        <f>4000*1.8</f>
        <v>7200</v>
      </c>
      <c r="D18" s="52"/>
      <c r="E18" s="52"/>
      <c r="F18" s="52"/>
      <c r="G18" s="52"/>
      <c r="H18" s="52"/>
      <c r="I18" s="52"/>
      <c r="J18" s="52"/>
      <c r="K18" s="52"/>
      <c r="L18" s="52"/>
      <c r="M18" s="52"/>
      <c r="N18" s="52"/>
      <c r="O18" s="25">
        <f t="shared" si="2"/>
        <v>12000</v>
      </c>
      <c r="P18" s="2">
        <f t="shared" si="3"/>
        <v>11744.314655072263</v>
      </c>
    </row>
    <row r="19" spans="1:16" s="2" customFormat="1" ht="13.8">
      <c r="A19" s="24" t="s">
        <v>11</v>
      </c>
      <c r="B19" s="19">
        <v>50</v>
      </c>
      <c r="C19" s="22">
        <f t="shared" si="1"/>
        <v>5600</v>
      </c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25">
        <f t="shared" si="2"/>
        <v>463600</v>
      </c>
      <c r="P19" s="2">
        <f t="shared" si="3"/>
        <v>9134.4669539450933</v>
      </c>
    </row>
    <row r="20" spans="1:16" s="2" customFormat="1" ht="13.8">
      <c r="A20" s="24" t="s">
        <v>12</v>
      </c>
      <c r="B20" s="19">
        <v>1</v>
      </c>
      <c r="C20" s="22">
        <f t="shared" si="1"/>
        <v>5600</v>
      </c>
      <c r="D20" s="52"/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25">
        <f t="shared" si="2"/>
        <v>9299.9999999999982</v>
      </c>
      <c r="P20" s="2">
        <f t="shared" si="3"/>
        <v>9134.4669539450933</v>
      </c>
    </row>
    <row r="21" spans="1:16" s="2" customFormat="1" ht="13.8">
      <c r="A21" s="24" t="s">
        <v>13</v>
      </c>
      <c r="B21" s="19">
        <v>7</v>
      </c>
      <c r="C21" s="22">
        <f t="shared" si="1"/>
        <v>5600</v>
      </c>
      <c r="D21" s="52"/>
      <c r="E21" s="52"/>
      <c r="F21" s="52"/>
      <c r="G21" s="52"/>
      <c r="H21" s="52"/>
      <c r="I21" s="52"/>
      <c r="J21" s="52"/>
      <c r="K21" s="52"/>
      <c r="L21" s="52"/>
      <c r="M21" s="52"/>
      <c r="N21" s="52"/>
      <c r="O21" s="25">
        <f t="shared" si="2"/>
        <v>65000</v>
      </c>
      <c r="P21" s="2">
        <f t="shared" si="3"/>
        <v>9134.4669539450933</v>
      </c>
    </row>
    <row r="22" spans="1:16" ht="15.6">
      <c r="A22" s="23" t="s">
        <v>14</v>
      </c>
      <c r="B22" s="16">
        <f>SUM(B23:B27)</f>
        <v>57</v>
      </c>
      <c r="C22" s="16"/>
      <c r="D22" s="52"/>
      <c r="E22" s="52"/>
      <c r="F22" s="52"/>
      <c r="G22" s="52"/>
      <c r="H22" s="52"/>
      <c r="I22" s="52"/>
      <c r="J22" s="52"/>
      <c r="K22" s="52"/>
      <c r="L22" s="52"/>
      <c r="M22" s="52"/>
      <c r="N22" s="52"/>
      <c r="O22" s="17">
        <f>SUM(O23:O27)</f>
        <v>528800</v>
      </c>
      <c r="P22" s="2">
        <f t="shared" si="3"/>
        <v>0</v>
      </c>
    </row>
    <row r="23" spans="1:16" s="2" customFormat="1" ht="13.8">
      <c r="A23" s="24" t="s">
        <v>15</v>
      </c>
      <c r="B23" s="26">
        <v>18</v>
      </c>
      <c r="C23" s="22">
        <f t="shared" ref="C23:C27" si="4">4000*1.4</f>
        <v>5600</v>
      </c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25">
        <f>ROUNDUP(B23*C23*$E$9*$F$9*$G$9*$H$9*$I$9*$M$9*$J$9*$K$9*$L$9*$D$9*$N$9/1000,1)*1000</f>
        <v>166900</v>
      </c>
      <c r="P23" s="2">
        <f t="shared" si="3"/>
        <v>9134.4669539450933</v>
      </c>
    </row>
    <row r="24" spans="1:16" s="2" customFormat="1" ht="13.8">
      <c r="A24" s="24" t="s">
        <v>16</v>
      </c>
      <c r="B24" s="19">
        <v>14</v>
      </c>
      <c r="C24" s="22">
        <f t="shared" si="4"/>
        <v>5600</v>
      </c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25">
        <f t="shared" ref="O24:O27" si="5">ROUNDUP(B24*C24*$E$9*$F$9*$G$9*$H$9*$I$9*$M$9*$J$9*$K$9*$L$9*$D$9*$N$9/1000,1)*1000</f>
        <v>129900</v>
      </c>
      <c r="P24" s="2">
        <f t="shared" si="3"/>
        <v>9134.4669539450933</v>
      </c>
    </row>
    <row r="25" spans="1:16" s="2" customFormat="1" ht="13.8">
      <c r="A25" s="24" t="s">
        <v>17</v>
      </c>
      <c r="B25" s="19">
        <v>3</v>
      </c>
      <c r="C25" s="22">
        <f t="shared" si="4"/>
        <v>5600</v>
      </c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25">
        <f t="shared" si="5"/>
        <v>27900.000000000004</v>
      </c>
      <c r="P25" s="2">
        <f t="shared" si="3"/>
        <v>9134.4669539450933</v>
      </c>
    </row>
    <row r="26" spans="1:16" s="2" customFormat="1" ht="13.8">
      <c r="A26" s="24" t="s">
        <v>18</v>
      </c>
      <c r="B26" s="19">
        <v>19</v>
      </c>
      <c r="C26" s="22">
        <f t="shared" si="4"/>
        <v>5600</v>
      </c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25">
        <f t="shared" si="5"/>
        <v>176200</v>
      </c>
      <c r="P26" s="2">
        <f t="shared" si="3"/>
        <v>9134.4669539450933</v>
      </c>
    </row>
    <row r="27" spans="1:16" s="2" customFormat="1" ht="13.8">
      <c r="A27" s="24" t="s">
        <v>19</v>
      </c>
      <c r="B27" s="19">
        <v>3</v>
      </c>
      <c r="C27" s="22">
        <f t="shared" si="4"/>
        <v>5600</v>
      </c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25">
        <f t="shared" si="5"/>
        <v>27900.000000000004</v>
      </c>
      <c r="P27" s="2">
        <f t="shared" si="3"/>
        <v>9134.4669539450933</v>
      </c>
    </row>
    <row r="28" spans="1:16" ht="15.6">
      <c r="A28" s="23" t="s">
        <v>32</v>
      </c>
      <c r="B28" s="16">
        <f>B9+B22</f>
        <v>331</v>
      </c>
      <c r="C28" s="16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17">
        <f>O22+O9</f>
        <v>3072400</v>
      </c>
      <c r="P28" s="2">
        <f t="shared" si="3"/>
        <v>0</v>
      </c>
    </row>
  </sheetData>
  <mergeCells count="21">
    <mergeCell ref="A2:O2"/>
    <mergeCell ref="A3:O3"/>
    <mergeCell ref="A4:O4"/>
    <mergeCell ref="A5:A6"/>
    <mergeCell ref="B5:B6"/>
    <mergeCell ref="C5:C6"/>
    <mergeCell ref="D5:D6"/>
    <mergeCell ref="E5:E6"/>
    <mergeCell ref="F5:N5"/>
    <mergeCell ref="D9:D28"/>
    <mergeCell ref="E9:E28"/>
    <mergeCell ref="F9:F28"/>
    <mergeCell ref="G9:G28"/>
    <mergeCell ref="H9:H28"/>
    <mergeCell ref="N9:N28"/>
    <mergeCell ref="O5:O7"/>
    <mergeCell ref="I9:I28"/>
    <mergeCell ref="J9:J28"/>
    <mergeCell ref="K9:K28"/>
    <mergeCell ref="L9:L28"/>
    <mergeCell ref="M9:M28"/>
  </mergeCells>
  <pageMargins left="0.7" right="0.7" top="0.75" bottom="0.75" header="0.3" footer="0.3"/>
  <pageSetup paperSize="9" scale="5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2:Q28"/>
  <sheetViews>
    <sheetView tabSelected="1" topLeftCell="C11" workbookViewId="0">
      <selection activeCell="D32" sqref="D32"/>
    </sheetView>
  </sheetViews>
  <sheetFormatPr defaultRowHeight="14.4"/>
  <cols>
    <col min="1" max="1" width="41.88671875" customWidth="1"/>
    <col min="2" max="2" width="24.6640625" customWidth="1"/>
    <col min="3" max="3" width="18.88671875" customWidth="1"/>
    <col min="4" max="4" width="11.44140625" customWidth="1"/>
    <col min="5" max="5" width="15.88671875" customWidth="1"/>
    <col min="6" max="15" width="9.5546875" customWidth="1"/>
    <col min="16" max="16" width="22.88671875" customWidth="1"/>
    <col min="17" max="17" width="11" hidden="1" customWidth="1"/>
  </cols>
  <sheetData>
    <row r="2" spans="1:17" ht="34.5" customHeight="1">
      <c r="A2" s="43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</row>
    <row r="3" spans="1:17" ht="72" customHeight="1">
      <c r="A3" s="44" t="s">
        <v>60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</row>
    <row r="4" spans="1:17" ht="28.5" customHeight="1">
      <c r="A4" s="45" t="s">
        <v>29</v>
      </c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</row>
    <row r="5" spans="1:17" s="18" customFormat="1" ht="98.25" customHeight="1">
      <c r="A5" s="49" t="s">
        <v>30</v>
      </c>
      <c r="B5" s="49" t="s">
        <v>34</v>
      </c>
      <c r="C5" s="49" t="s">
        <v>43</v>
      </c>
      <c r="D5" s="49" t="s">
        <v>51</v>
      </c>
      <c r="E5" s="49" t="s">
        <v>36</v>
      </c>
      <c r="F5" s="46" t="s">
        <v>35</v>
      </c>
      <c r="G5" s="47"/>
      <c r="H5" s="47"/>
      <c r="I5" s="47"/>
      <c r="J5" s="47"/>
      <c r="K5" s="47"/>
      <c r="L5" s="47"/>
      <c r="M5" s="47"/>
      <c r="N5" s="47"/>
      <c r="O5" s="48"/>
      <c r="P5" s="49" t="s">
        <v>39</v>
      </c>
    </row>
    <row r="6" spans="1:17" ht="31.5" customHeight="1">
      <c r="A6" s="50"/>
      <c r="B6" s="50"/>
      <c r="C6" s="50"/>
      <c r="D6" s="50"/>
      <c r="E6" s="50"/>
      <c r="F6" s="41" t="s">
        <v>37</v>
      </c>
      <c r="G6" s="41" t="s">
        <v>38</v>
      </c>
      <c r="H6" s="41" t="s">
        <v>40</v>
      </c>
      <c r="I6" s="41" t="s">
        <v>41</v>
      </c>
      <c r="J6" s="41" t="s">
        <v>42</v>
      </c>
      <c r="K6" s="41" t="s">
        <v>45</v>
      </c>
      <c r="L6" s="41" t="s">
        <v>46</v>
      </c>
      <c r="M6" s="41" t="s">
        <v>50</v>
      </c>
      <c r="N6" s="41" t="s">
        <v>58</v>
      </c>
      <c r="O6" s="41" t="s">
        <v>59</v>
      </c>
      <c r="P6" s="63"/>
    </row>
    <row r="7" spans="1:17" ht="21" hidden="1" customHeight="1">
      <c r="A7" s="42"/>
      <c r="B7" s="42"/>
      <c r="C7" s="42"/>
      <c r="D7" s="42"/>
      <c r="E7" s="42">
        <v>2023</v>
      </c>
      <c r="F7" s="41">
        <v>2013</v>
      </c>
      <c r="G7" s="41">
        <v>2014</v>
      </c>
      <c r="H7" s="41">
        <v>2015</v>
      </c>
      <c r="I7" s="41">
        <v>2016</v>
      </c>
      <c r="J7" s="41">
        <v>2017</v>
      </c>
      <c r="K7" s="41">
        <v>2018</v>
      </c>
      <c r="L7" s="41">
        <v>2019</v>
      </c>
      <c r="M7" s="41">
        <v>2020</v>
      </c>
      <c r="N7" s="41">
        <v>2021</v>
      </c>
      <c r="O7" s="41">
        <v>2022</v>
      </c>
      <c r="P7" s="50"/>
    </row>
    <row r="8" spans="1:17" s="18" customFormat="1">
      <c r="A8" s="21">
        <v>1</v>
      </c>
      <c r="B8" s="21">
        <v>2</v>
      </c>
      <c r="C8" s="21">
        <v>3</v>
      </c>
      <c r="D8" s="21">
        <v>4</v>
      </c>
      <c r="E8" s="21">
        <v>5</v>
      </c>
      <c r="F8" s="21">
        <v>6</v>
      </c>
      <c r="G8" s="21">
        <v>7</v>
      </c>
      <c r="H8" s="21">
        <v>8</v>
      </c>
      <c r="I8" s="21">
        <v>9</v>
      </c>
      <c r="J8" s="21">
        <v>10</v>
      </c>
      <c r="K8" s="21">
        <v>11</v>
      </c>
      <c r="L8" s="21">
        <v>12</v>
      </c>
      <c r="M8" s="21">
        <v>13</v>
      </c>
      <c r="N8" s="21">
        <v>14</v>
      </c>
      <c r="O8" s="21">
        <v>15</v>
      </c>
      <c r="P8" s="21">
        <v>16</v>
      </c>
    </row>
    <row r="9" spans="1:17" ht="35.25" customHeight="1">
      <c r="A9" s="23" t="s">
        <v>31</v>
      </c>
      <c r="B9" s="16">
        <f>SUM(B10:B21)</f>
        <v>274</v>
      </c>
      <c r="C9" s="16"/>
      <c r="D9" s="51">
        <v>1.0149999999999999</v>
      </c>
      <c r="E9" s="51">
        <v>1.04</v>
      </c>
      <c r="F9" s="51">
        <v>1.0549999999999999</v>
      </c>
      <c r="G9" s="51">
        <v>1.05</v>
      </c>
      <c r="H9" s="51">
        <v>1.0449999999999999</v>
      </c>
      <c r="I9" s="51">
        <v>1.04</v>
      </c>
      <c r="J9" s="51">
        <v>1.119</v>
      </c>
      <c r="K9" s="51">
        <v>1.04</v>
      </c>
      <c r="L9" s="51">
        <v>1.04</v>
      </c>
      <c r="M9" s="51">
        <v>1.0349999999999999</v>
      </c>
      <c r="N9" s="51">
        <v>1.04</v>
      </c>
      <c r="O9" s="51">
        <v>1.04</v>
      </c>
      <c r="P9" s="17">
        <f t="shared" ref="P9" si="0">SUM(P10:P21)</f>
        <v>2645500</v>
      </c>
    </row>
    <row r="10" spans="1:17" s="2" customFormat="1" ht="20.25" customHeight="1">
      <c r="A10" s="24" t="s">
        <v>2</v>
      </c>
      <c r="B10" s="26">
        <v>20</v>
      </c>
      <c r="C10" s="22">
        <f>4000*1.4</f>
        <v>5600</v>
      </c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25">
        <f>ROUNDUP(B10*C10*$E$9*$F$9*$G$9*$H$9*$I$9*$M$9*$J$9*$K$9*$L$9*$D$9*$N$9*$O$9/1000,1)*1000</f>
        <v>192900</v>
      </c>
      <c r="Q10" s="2">
        <f>C10*$E$9*$F$9*$G$9*$H$9*$I$9*$J$9*$K$9*$L$9*$M$9*$N$9*$O$9</f>
        <v>9499.8456321028971</v>
      </c>
    </row>
    <row r="11" spans="1:17" s="2" customFormat="1" ht="20.25" customHeight="1">
      <c r="A11" s="24" t="s">
        <v>3</v>
      </c>
      <c r="B11" s="19">
        <v>5</v>
      </c>
      <c r="C11" s="22">
        <f t="shared" ref="C11:C21" si="1">4000*1.4</f>
        <v>5600</v>
      </c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25">
        <f t="shared" ref="P11:P20" si="2">ROUNDUP(B11*C11*$E$9*$F$9*$G$9*$H$9*$I$9*$M$9*$J$9*$K$9*$L$9*$D$9*$N$9*$O$9/1000,1)*1000</f>
        <v>48300.000000000007</v>
      </c>
      <c r="Q11" s="2">
        <f t="shared" ref="Q11:Q28" si="3">C11*$E$9*$F$9*$G$9*$H$9*$I$9*$J$9*$K$9*$L$9*$M$9*$N$9</f>
        <v>9134.4669539450933</v>
      </c>
    </row>
    <row r="12" spans="1:17" s="2" customFormat="1" ht="27.6">
      <c r="A12" s="24" t="s">
        <v>4</v>
      </c>
      <c r="B12" s="19">
        <v>19</v>
      </c>
      <c r="C12" s="22">
        <f t="shared" si="1"/>
        <v>5600</v>
      </c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25">
        <f t="shared" si="2"/>
        <v>183299.99999999997</v>
      </c>
      <c r="Q12" s="2">
        <f t="shared" si="3"/>
        <v>9134.4669539450933</v>
      </c>
    </row>
    <row r="13" spans="1:17" s="2" customFormat="1" ht="20.25" customHeight="1">
      <c r="A13" s="24" t="s">
        <v>5</v>
      </c>
      <c r="B13" s="19">
        <v>130</v>
      </c>
      <c r="C13" s="22">
        <f t="shared" si="1"/>
        <v>5600</v>
      </c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  <c r="O13" s="52"/>
      <c r="P13" s="25">
        <f t="shared" si="2"/>
        <v>1253600</v>
      </c>
      <c r="Q13" s="2">
        <f t="shared" si="3"/>
        <v>9134.4669539450933</v>
      </c>
    </row>
    <row r="14" spans="1:17" s="2" customFormat="1" ht="27.6">
      <c r="A14" s="24" t="s">
        <v>6</v>
      </c>
      <c r="B14" s="19">
        <v>30</v>
      </c>
      <c r="C14" s="22">
        <f t="shared" si="1"/>
        <v>5600</v>
      </c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52"/>
      <c r="P14" s="25">
        <f t="shared" si="2"/>
        <v>289300</v>
      </c>
      <c r="Q14" s="2">
        <f t="shared" si="3"/>
        <v>9134.4669539450933</v>
      </c>
    </row>
    <row r="15" spans="1:17" s="2" customFormat="1" ht="27.6">
      <c r="A15" s="24" t="s">
        <v>7</v>
      </c>
      <c r="B15" s="19">
        <v>1</v>
      </c>
      <c r="C15" s="22">
        <f t="shared" si="1"/>
        <v>5600</v>
      </c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52"/>
      <c r="P15" s="25">
        <f t="shared" si="2"/>
        <v>9700</v>
      </c>
      <c r="Q15" s="2">
        <f t="shared" si="3"/>
        <v>9134.4669539450933</v>
      </c>
    </row>
    <row r="16" spans="1:17" s="2" customFormat="1" ht="20.25" customHeight="1">
      <c r="A16" s="24" t="s">
        <v>8</v>
      </c>
      <c r="B16" s="19">
        <v>5</v>
      </c>
      <c r="C16" s="22">
        <f t="shared" si="1"/>
        <v>5600</v>
      </c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2"/>
      <c r="O16" s="52"/>
      <c r="P16" s="25">
        <f t="shared" si="2"/>
        <v>48300.000000000007</v>
      </c>
      <c r="Q16" s="2">
        <f t="shared" si="3"/>
        <v>9134.4669539450933</v>
      </c>
    </row>
    <row r="17" spans="1:17" s="2" customFormat="1" ht="20.25" customHeight="1">
      <c r="A17" s="24" t="s">
        <v>9</v>
      </c>
      <c r="B17" s="19">
        <v>5</v>
      </c>
      <c r="C17" s="22">
        <f t="shared" si="1"/>
        <v>5600</v>
      </c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2"/>
      <c r="O17" s="52"/>
      <c r="P17" s="25">
        <f t="shared" si="2"/>
        <v>48300.000000000007</v>
      </c>
      <c r="Q17" s="2">
        <f t="shared" si="3"/>
        <v>9134.4669539450933</v>
      </c>
    </row>
    <row r="18" spans="1:17" s="2" customFormat="1" ht="13.8">
      <c r="A18" s="24" t="s">
        <v>10</v>
      </c>
      <c r="B18" s="19">
        <v>1</v>
      </c>
      <c r="C18" s="22">
        <f>4000*1.8</f>
        <v>7200</v>
      </c>
      <c r="D18" s="52"/>
      <c r="E18" s="52"/>
      <c r="F18" s="52"/>
      <c r="G18" s="52"/>
      <c r="H18" s="52"/>
      <c r="I18" s="52"/>
      <c r="J18" s="52"/>
      <c r="K18" s="52"/>
      <c r="L18" s="52"/>
      <c r="M18" s="52"/>
      <c r="N18" s="52"/>
      <c r="O18" s="52"/>
      <c r="P18" s="25">
        <f t="shared" si="2"/>
        <v>12400</v>
      </c>
      <c r="Q18" s="2">
        <f t="shared" si="3"/>
        <v>11744.314655072263</v>
      </c>
    </row>
    <row r="19" spans="1:17" s="2" customFormat="1" ht="13.8">
      <c r="A19" s="24" t="s">
        <v>11</v>
      </c>
      <c r="B19" s="19">
        <v>50</v>
      </c>
      <c r="C19" s="22">
        <f t="shared" si="1"/>
        <v>5600</v>
      </c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52"/>
      <c r="P19" s="25">
        <f t="shared" si="2"/>
        <v>482200.00000000006</v>
      </c>
      <c r="Q19" s="2">
        <f t="shared" si="3"/>
        <v>9134.4669539450933</v>
      </c>
    </row>
    <row r="20" spans="1:17" s="2" customFormat="1" ht="13.8">
      <c r="A20" s="24" t="s">
        <v>12</v>
      </c>
      <c r="B20" s="19">
        <v>1</v>
      </c>
      <c r="C20" s="22">
        <f t="shared" si="1"/>
        <v>5600</v>
      </c>
      <c r="D20" s="52"/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52"/>
      <c r="P20" s="25">
        <f t="shared" si="2"/>
        <v>9700</v>
      </c>
      <c r="Q20" s="2">
        <f t="shared" si="3"/>
        <v>9134.4669539450933</v>
      </c>
    </row>
    <row r="21" spans="1:17" s="2" customFormat="1" ht="13.8">
      <c r="A21" s="24" t="s">
        <v>13</v>
      </c>
      <c r="B21" s="19">
        <v>7</v>
      </c>
      <c r="C21" s="22">
        <f t="shared" si="1"/>
        <v>5600</v>
      </c>
      <c r="D21" s="52"/>
      <c r="E21" s="52"/>
      <c r="F21" s="52"/>
      <c r="G21" s="52"/>
      <c r="H21" s="52"/>
      <c r="I21" s="52"/>
      <c r="J21" s="52"/>
      <c r="K21" s="52"/>
      <c r="L21" s="52"/>
      <c r="M21" s="52"/>
      <c r="N21" s="52"/>
      <c r="O21" s="52"/>
      <c r="P21" s="25">
        <f>ROUNDUP(B21*C21*$E$9*$F$9*$G$9*$H$9*$I$9*$M$9*$J$9*$K$9*$L$9*$D$9*$N$9*$O$9/1000,1)*1000</f>
        <v>67500</v>
      </c>
      <c r="Q21" s="2">
        <f t="shared" si="3"/>
        <v>9134.4669539450933</v>
      </c>
    </row>
    <row r="22" spans="1:17" ht="15.6">
      <c r="A22" s="23" t="s">
        <v>14</v>
      </c>
      <c r="B22" s="16">
        <f>SUM(B23:B27)</f>
        <v>56</v>
      </c>
      <c r="C22" s="16"/>
      <c r="D22" s="52"/>
      <c r="E22" s="52"/>
      <c r="F22" s="52"/>
      <c r="G22" s="52"/>
      <c r="H22" s="52"/>
      <c r="I22" s="52"/>
      <c r="J22" s="52"/>
      <c r="K22" s="52"/>
      <c r="L22" s="52"/>
      <c r="M22" s="52"/>
      <c r="N22" s="52"/>
      <c r="O22" s="52"/>
      <c r="P22" s="17">
        <f>SUM(P23:P27)</f>
        <v>540200</v>
      </c>
      <c r="Q22" s="2">
        <f t="shared" si="3"/>
        <v>0</v>
      </c>
    </row>
    <row r="23" spans="1:17" s="2" customFormat="1" ht="13.8">
      <c r="A23" s="24" t="s">
        <v>15</v>
      </c>
      <c r="B23" s="26">
        <v>18</v>
      </c>
      <c r="C23" s="22">
        <f t="shared" ref="C23:C27" si="4">4000*1.4</f>
        <v>5600</v>
      </c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25">
        <f t="shared" ref="P23:P27" si="5">ROUNDUP(B23*C23*$E$9*$F$9*$G$9*$H$9*$I$9*$M$9*$J$9*$K$9*$L$9*$D$9*$N$9*$O$9/1000,1)*1000</f>
        <v>173600</v>
      </c>
      <c r="Q23" s="2">
        <f t="shared" si="3"/>
        <v>9134.4669539450933</v>
      </c>
    </row>
    <row r="24" spans="1:17" s="2" customFormat="1" ht="13.8">
      <c r="A24" s="24" t="s">
        <v>16</v>
      </c>
      <c r="B24" s="19">
        <v>14</v>
      </c>
      <c r="C24" s="22">
        <f t="shared" si="4"/>
        <v>5600</v>
      </c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25">
        <f t="shared" si="5"/>
        <v>135000</v>
      </c>
      <c r="Q24" s="2">
        <f t="shared" si="3"/>
        <v>9134.4669539450933</v>
      </c>
    </row>
    <row r="25" spans="1:17" s="2" customFormat="1" ht="13.8">
      <c r="A25" s="24" t="s">
        <v>17</v>
      </c>
      <c r="B25" s="19">
        <v>3</v>
      </c>
      <c r="C25" s="22">
        <f t="shared" si="4"/>
        <v>5600</v>
      </c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25">
        <f t="shared" si="5"/>
        <v>29000</v>
      </c>
      <c r="Q25" s="2">
        <f t="shared" si="3"/>
        <v>9134.4669539450933</v>
      </c>
    </row>
    <row r="26" spans="1:17" s="2" customFormat="1" ht="13.8">
      <c r="A26" s="24" t="s">
        <v>18</v>
      </c>
      <c r="B26" s="19">
        <v>18</v>
      </c>
      <c r="C26" s="22">
        <f t="shared" si="4"/>
        <v>5600</v>
      </c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25">
        <f t="shared" si="5"/>
        <v>173600</v>
      </c>
      <c r="Q26" s="2">
        <f t="shared" si="3"/>
        <v>9134.4669539450933</v>
      </c>
    </row>
    <row r="27" spans="1:17" s="2" customFormat="1" ht="13.8">
      <c r="A27" s="24" t="s">
        <v>19</v>
      </c>
      <c r="B27" s="19">
        <v>3</v>
      </c>
      <c r="C27" s="22">
        <f t="shared" si="4"/>
        <v>5600</v>
      </c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25">
        <f t="shared" si="5"/>
        <v>29000</v>
      </c>
      <c r="Q27" s="2">
        <f t="shared" si="3"/>
        <v>9134.4669539450933</v>
      </c>
    </row>
    <row r="28" spans="1:17" ht="15.6">
      <c r="A28" s="23" t="s">
        <v>32</v>
      </c>
      <c r="B28" s="16">
        <f>B9+B22</f>
        <v>330</v>
      </c>
      <c r="C28" s="16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17">
        <f>P22+P9</f>
        <v>3185700</v>
      </c>
      <c r="Q28" s="2">
        <f t="shared" si="3"/>
        <v>0</v>
      </c>
    </row>
  </sheetData>
  <mergeCells count="22">
    <mergeCell ref="A2:P2"/>
    <mergeCell ref="A3:P3"/>
    <mergeCell ref="A4:P4"/>
    <mergeCell ref="A5:A6"/>
    <mergeCell ref="B5:B6"/>
    <mergeCell ref="C5:C6"/>
    <mergeCell ref="D5:D6"/>
    <mergeCell ref="E5:E6"/>
    <mergeCell ref="P5:P7"/>
    <mergeCell ref="F5:O5"/>
    <mergeCell ref="D9:D28"/>
    <mergeCell ref="E9:E28"/>
    <mergeCell ref="F9:F28"/>
    <mergeCell ref="G9:G28"/>
    <mergeCell ref="H9:H28"/>
    <mergeCell ref="O9:O28"/>
    <mergeCell ref="I9:I28"/>
    <mergeCell ref="J9:J28"/>
    <mergeCell ref="K9:K28"/>
    <mergeCell ref="L9:L28"/>
    <mergeCell ref="M9:M28"/>
    <mergeCell ref="N9:N28"/>
  </mergeCells>
  <pageMargins left="0.19" right="0.17" top="0.74803149606299213" bottom="0.74803149606299213" header="0.31496062992125984" footer="0.31496062992125984"/>
  <pageSetup paperSize="9" scale="6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4:G34"/>
  <sheetViews>
    <sheetView topLeftCell="A13" workbookViewId="0">
      <selection activeCell="C15" sqref="C15"/>
    </sheetView>
  </sheetViews>
  <sheetFormatPr defaultColWidth="9.109375" defaultRowHeight="13.8"/>
  <cols>
    <col min="1" max="1" width="49.6640625" style="2" customWidth="1"/>
    <col min="2" max="2" width="12.33203125" style="2" customWidth="1"/>
    <col min="3" max="3" width="18.33203125" style="2" customWidth="1"/>
    <col min="4" max="4" width="19.88671875" style="2" customWidth="1"/>
    <col min="5" max="5" width="16.88671875" style="2" customWidth="1"/>
    <col min="6" max="6" width="16.6640625" style="2" customWidth="1"/>
    <col min="7" max="7" width="16.88671875" style="2" customWidth="1"/>
    <col min="8" max="16384" width="9.109375" style="2"/>
  </cols>
  <sheetData>
    <row r="4" spans="1:7">
      <c r="A4" s="64" t="s">
        <v>22</v>
      </c>
      <c r="B4" s="64"/>
      <c r="C4" s="64"/>
      <c r="D4" s="64"/>
      <c r="E4" s="64"/>
      <c r="F4" s="64"/>
      <c r="G4" s="64"/>
    </row>
    <row r="5" spans="1:7" ht="52.5" customHeight="1">
      <c r="A5" s="65" t="s">
        <v>23</v>
      </c>
      <c r="B5" s="65"/>
      <c r="C5" s="65"/>
      <c r="D5" s="65"/>
      <c r="E5" s="65"/>
      <c r="F5" s="65"/>
      <c r="G5" s="65"/>
    </row>
    <row r="8" spans="1:7" ht="71.25" customHeight="1">
      <c r="A8" s="1"/>
      <c r="B8" s="4" t="s">
        <v>21</v>
      </c>
      <c r="C8" s="4" t="s">
        <v>24</v>
      </c>
      <c r="D8" s="4" t="s">
        <v>25</v>
      </c>
      <c r="E8" s="4" t="s">
        <v>26</v>
      </c>
      <c r="F8" s="4" t="s">
        <v>27</v>
      </c>
      <c r="G8" s="4" t="s">
        <v>28</v>
      </c>
    </row>
    <row r="9" spans="1:7" s="3" customFormat="1">
      <c r="A9" s="5" t="s">
        <v>0</v>
      </c>
      <c r="B9" s="6">
        <f>B11+B12+B13+B14+B15+B16+B17+B18+B19+B20+B21+B22</f>
        <v>220</v>
      </c>
      <c r="C9" s="6"/>
      <c r="D9" s="8">
        <f>D11+D12+D13+D14+D15+D16+D17+D18+D19+D20+D21+D22</f>
        <v>1728341.89</v>
      </c>
      <c r="E9" s="8">
        <f>E11+E12+E13+E14+E15+E16+E17+E18+E19+E20+E21+E22</f>
        <v>1728900</v>
      </c>
      <c r="F9" s="8">
        <f t="shared" ref="F9:G9" si="0">F11+F12+F13+F14+F15+F16+F17+F18+F19+F20+F21+F22</f>
        <v>1798800</v>
      </c>
      <c r="G9" s="8">
        <f t="shared" si="0"/>
        <v>1871300</v>
      </c>
    </row>
    <row r="10" spans="1:7">
      <c r="A10" s="9" t="s">
        <v>1</v>
      </c>
      <c r="B10" s="7"/>
      <c r="C10" s="7"/>
      <c r="D10" s="10"/>
      <c r="E10" s="7"/>
      <c r="F10" s="7"/>
      <c r="G10" s="7"/>
    </row>
    <row r="11" spans="1:7">
      <c r="A11" s="11" t="s">
        <v>2</v>
      </c>
      <c r="B11" s="7">
        <f>15-8</f>
        <v>7</v>
      </c>
      <c r="C11" s="10">
        <v>7845.91</v>
      </c>
      <c r="D11" s="10">
        <f>B11*C11</f>
        <v>54921.369999999995</v>
      </c>
      <c r="E11" s="12">
        <f>ROUNDUP(B11*C11/1000,1)*1000</f>
        <v>55000</v>
      </c>
      <c r="F11" s="10">
        <f>ROUNDUP(E11*1.04/1000,1)*1000</f>
        <v>57200</v>
      </c>
      <c r="G11" s="10">
        <f>ROUNDUP(F11*1.04/1000,1)*1000</f>
        <v>59500</v>
      </c>
    </row>
    <row r="12" spans="1:7">
      <c r="A12" s="11" t="s">
        <v>3</v>
      </c>
      <c r="B12" s="7">
        <v>15</v>
      </c>
      <c r="C12" s="10">
        <v>7845.91</v>
      </c>
      <c r="D12" s="10">
        <f t="shared" ref="D12:D22" si="1">B12*C12</f>
        <v>117688.65</v>
      </c>
      <c r="E12" s="12">
        <f t="shared" ref="E12:E22" si="2">ROUNDUP(B12*C12/1000,1)*1000</f>
        <v>117699.99999999999</v>
      </c>
      <c r="F12" s="10">
        <f t="shared" ref="F12:G12" si="3">ROUNDUP(E12*1.04/1000,1)*1000</f>
        <v>122500</v>
      </c>
      <c r="G12" s="10">
        <f t="shared" si="3"/>
        <v>127400</v>
      </c>
    </row>
    <row r="13" spans="1:7">
      <c r="A13" s="11" t="s">
        <v>4</v>
      </c>
      <c r="B13" s="7">
        <v>15</v>
      </c>
      <c r="C13" s="10">
        <v>7845.91</v>
      </c>
      <c r="D13" s="10">
        <f t="shared" si="1"/>
        <v>117688.65</v>
      </c>
      <c r="E13" s="12">
        <f t="shared" si="2"/>
        <v>117699.99999999999</v>
      </c>
      <c r="F13" s="10">
        <f t="shared" ref="F13:G13" si="4">ROUNDUP(E13*1.04/1000,1)*1000</f>
        <v>122500</v>
      </c>
      <c r="G13" s="10">
        <f t="shared" si="4"/>
        <v>127400</v>
      </c>
    </row>
    <row r="14" spans="1:7">
      <c r="A14" s="11" t="s">
        <v>5</v>
      </c>
      <c r="B14" s="7">
        <v>119</v>
      </c>
      <c r="C14" s="10">
        <v>7845.91</v>
      </c>
      <c r="D14" s="10">
        <f t="shared" si="1"/>
        <v>933663.29</v>
      </c>
      <c r="E14" s="12">
        <f t="shared" si="2"/>
        <v>933700</v>
      </c>
      <c r="F14" s="10">
        <f t="shared" ref="F14:G14" si="5">ROUNDUP(E14*1.04/1000,1)*1000</f>
        <v>971100</v>
      </c>
      <c r="G14" s="10">
        <f t="shared" si="5"/>
        <v>1010000</v>
      </c>
    </row>
    <row r="15" spans="1:7">
      <c r="A15" s="11" t="s">
        <v>6</v>
      </c>
      <c r="B15" s="7">
        <v>22</v>
      </c>
      <c r="C15" s="10">
        <v>7845.91</v>
      </c>
      <c r="D15" s="10">
        <f t="shared" si="1"/>
        <v>172610.02</v>
      </c>
      <c r="E15" s="12">
        <f t="shared" si="2"/>
        <v>172700</v>
      </c>
      <c r="F15" s="10">
        <f t="shared" ref="F15:G15" si="6">ROUNDUP(E15*1.04/1000,1)*1000</f>
        <v>179700</v>
      </c>
      <c r="G15" s="10">
        <f t="shared" si="6"/>
        <v>186900</v>
      </c>
    </row>
    <row r="16" spans="1:7">
      <c r="A16" s="11" t="s">
        <v>7</v>
      </c>
      <c r="B16" s="7">
        <v>1</v>
      </c>
      <c r="C16" s="10">
        <v>7845.91</v>
      </c>
      <c r="D16" s="10">
        <f t="shared" si="1"/>
        <v>7845.91</v>
      </c>
      <c r="E16" s="12">
        <f t="shared" si="2"/>
        <v>7899.9999999999991</v>
      </c>
      <c r="F16" s="10">
        <f t="shared" ref="F16:G16" si="7">ROUNDUP(E16*1.04/1000,1)*1000</f>
        <v>8299.9999999999982</v>
      </c>
      <c r="G16" s="10">
        <f t="shared" si="7"/>
        <v>8700</v>
      </c>
    </row>
    <row r="17" spans="1:7">
      <c r="A17" s="11" t="s">
        <v>8</v>
      </c>
      <c r="B17" s="7">
        <v>14</v>
      </c>
      <c r="C17" s="10">
        <v>7845.91</v>
      </c>
      <c r="D17" s="10">
        <f t="shared" si="1"/>
        <v>109842.73999999999</v>
      </c>
      <c r="E17" s="12">
        <f t="shared" si="2"/>
        <v>109899.99999999999</v>
      </c>
      <c r="F17" s="10">
        <f t="shared" ref="F17:G17" si="8">ROUNDUP(E17*1.04/1000,1)*1000</f>
        <v>114300</v>
      </c>
      <c r="G17" s="10">
        <f t="shared" si="8"/>
        <v>118899.99999999999</v>
      </c>
    </row>
    <row r="18" spans="1:7">
      <c r="A18" s="11" t="s">
        <v>9</v>
      </c>
      <c r="B18" s="7">
        <v>1</v>
      </c>
      <c r="C18" s="10">
        <v>7845.91</v>
      </c>
      <c r="D18" s="10">
        <f t="shared" si="1"/>
        <v>7845.91</v>
      </c>
      <c r="E18" s="12">
        <f t="shared" si="2"/>
        <v>7899.9999999999991</v>
      </c>
      <c r="F18" s="10">
        <f t="shared" ref="F18:G18" si="9">ROUNDUP(E18*1.04/1000,1)*1000</f>
        <v>8299.9999999999982</v>
      </c>
      <c r="G18" s="10">
        <f t="shared" si="9"/>
        <v>8700</v>
      </c>
    </row>
    <row r="19" spans="1:7">
      <c r="A19" s="11" t="s">
        <v>10</v>
      </c>
      <c r="B19" s="7">
        <v>1</v>
      </c>
      <c r="C19" s="10">
        <v>10087.6</v>
      </c>
      <c r="D19" s="10">
        <f t="shared" si="1"/>
        <v>10087.6</v>
      </c>
      <c r="E19" s="12">
        <f t="shared" si="2"/>
        <v>10100</v>
      </c>
      <c r="F19" s="10">
        <f t="shared" ref="F19:G19" si="10">ROUNDUP(E19*1.04/1000,1)*1000</f>
        <v>10600</v>
      </c>
      <c r="G19" s="10">
        <f t="shared" si="10"/>
        <v>11100</v>
      </c>
    </row>
    <row r="20" spans="1:7">
      <c r="A20" s="11" t="s">
        <v>11</v>
      </c>
      <c r="B20" s="7">
        <v>19</v>
      </c>
      <c r="C20" s="10">
        <v>7845.91</v>
      </c>
      <c r="D20" s="10">
        <f t="shared" si="1"/>
        <v>149072.29</v>
      </c>
      <c r="E20" s="12">
        <f t="shared" si="2"/>
        <v>149100</v>
      </c>
      <c r="F20" s="10">
        <f t="shared" ref="F20:G20" si="11">ROUNDUP(E20*1.04/1000,1)*1000</f>
        <v>155100</v>
      </c>
      <c r="G20" s="10">
        <f t="shared" si="11"/>
        <v>161400</v>
      </c>
    </row>
    <row r="21" spans="1:7">
      <c r="A21" s="11" t="s">
        <v>12</v>
      </c>
      <c r="B21" s="7">
        <v>1</v>
      </c>
      <c r="C21" s="10">
        <v>7845.91</v>
      </c>
      <c r="D21" s="10">
        <f t="shared" si="1"/>
        <v>7845.91</v>
      </c>
      <c r="E21" s="12">
        <f t="shared" si="2"/>
        <v>7899.9999999999991</v>
      </c>
      <c r="F21" s="10">
        <f t="shared" ref="F21:G21" si="12">ROUNDUP(E21*1.04/1000,1)*1000</f>
        <v>8299.9999999999982</v>
      </c>
      <c r="G21" s="10">
        <f t="shared" si="12"/>
        <v>8700</v>
      </c>
    </row>
    <row r="22" spans="1:7">
      <c r="A22" s="13" t="s">
        <v>13</v>
      </c>
      <c r="B22" s="7">
        <v>5</v>
      </c>
      <c r="C22" s="10">
        <v>7845.91</v>
      </c>
      <c r="D22" s="10">
        <f t="shared" si="1"/>
        <v>39229.550000000003</v>
      </c>
      <c r="E22" s="12">
        <f t="shared" si="2"/>
        <v>39300.000000000007</v>
      </c>
      <c r="F22" s="10">
        <f t="shared" ref="F22:G22" si="13">ROUNDUP(E22*1.04/1000,1)*1000</f>
        <v>40900</v>
      </c>
      <c r="G22" s="10">
        <f t="shared" si="13"/>
        <v>42600</v>
      </c>
    </row>
    <row r="23" spans="1:7" s="3" customFormat="1">
      <c r="A23" s="14" t="s">
        <v>14</v>
      </c>
      <c r="B23" s="6">
        <f>B25+B26+B27+B28+B29</f>
        <v>31</v>
      </c>
      <c r="C23" s="8"/>
      <c r="D23" s="8">
        <f>D25+D26+D27+D28+D29</f>
        <v>243223.21</v>
      </c>
      <c r="E23" s="8">
        <f>E25+E26+E27+E28+E29</f>
        <v>243499.99999999997</v>
      </c>
      <c r="F23" s="8">
        <f t="shared" ref="F23:G23" si="14">F25+F26+F27+F28+F29</f>
        <v>253500</v>
      </c>
      <c r="G23" s="8">
        <f t="shared" si="14"/>
        <v>263900</v>
      </c>
    </row>
    <row r="24" spans="1:7">
      <c r="A24" s="15" t="s">
        <v>1</v>
      </c>
      <c r="B24" s="7"/>
      <c r="C24" s="10"/>
      <c r="D24" s="10"/>
      <c r="E24" s="7"/>
      <c r="F24" s="7"/>
      <c r="G24" s="7"/>
    </row>
    <row r="25" spans="1:7">
      <c r="A25" s="13" t="s">
        <v>15</v>
      </c>
      <c r="B25" s="7">
        <v>9</v>
      </c>
      <c r="C25" s="10">
        <v>7845.91</v>
      </c>
      <c r="D25" s="10">
        <f t="shared" ref="D25:D29" si="15">B25*C25</f>
        <v>70613.19</v>
      </c>
      <c r="E25" s="12">
        <f t="shared" ref="E25:E29" si="16">ROUNDUP(B25*C25/1000,1)*1000</f>
        <v>70699.999999999985</v>
      </c>
      <c r="F25" s="10">
        <f t="shared" ref="F25:G25" si="17">ROUNDUP(E25*1.04/1000,1)*1000</f>
        <v>73600</v>
      </c>
      <c r="G25" s="10">
        <f t="shared" si="17"/>
        <v>76600</v>
      </c>
    </row>
    <row r="26" spans="1:7">
      <c r="A26" s="13" t="s">
        <v>16</v>
      </c>
      <c r="B26" s="7">
        <v>14</v>
      </c>
      <c r="C26" s="10">
        <v>7845.91</v>
      </c>
      <c r="D26" s="10">
        <f t="shared" si="15"/>
        <v>109842.73999999999</v>
      </c>
      <c r="E26" s="12">
        <f t="shared" si="16"/>
        <v>109899.99999999999</v>
      </c>
      <c r="F26" s="10">
        <f t="shared" ref="F26:G26" si="18">ROUNDUP(E26*1.04/1000,1)*1000</f>
        <v>114300</v>
      </c>
      <c r="G26" s="10">
        <f t="shared" si="18"/>
        <v>118899.99999999999</v>
      </c>
    </row>
    <row r="27" spans="1:7">
      <c r="A27" s="13" t="s">
        <v>17</v>
      </c>
      <c r="B27" s="7">
        <v>3</v>
      </c>
      <c r="C27" s="10">
        <v>7845.91</v>
      </c>
      <c r="D27" s="10">
        <f t="shared" si="15"/>
        <v>23537.73</v>
      </c>
      <c r="E27" s="12">
        <f t="shared" si="16"/>
        <v>23600</v>
      </c>
      <c r="F27" s="10">
        <f t="shared" ref="F27:G27" si="19">ROUNDUP(E27*1.04/1000,1)*1000</f>
        <v>24600</v>
      </c>
      <c r="G27" s="10">
        <f t="shared" si="19"/>
        <v>25600</v>
      </c>
    </row>
    <row r="28" spans="1:7">
      <c r="A28" s="13" t="s">
        <v>18</v>
      </c>
      <c r="B28" s="7">
        <v>4</v>
      </c>
      <c r="C28" s="10">
        <v>7845.91</v>
      </c>
      <c r="D28" s="10">
        <f t="shared" si="15"/>
        <v>31383.64</v>
      </c>
      <c r="E28" s="12">
        <f t="shared" si="16"/>
        <v>31400.000000000004</v>
      </c>
      <c r="F28" s="10">
        <f t="shared" ref="F28:G28" si="20">ROUNDUP(E28*1.04/1000,1)*1000</f>
        <v>32700.000000000004</v>
      </c>
      <c r="G28" s="10">
        <f t="shared" si="20"/>
        <v>34100</v>
      </c>
    </row>
    <row r="29" spans="1:7">
      <c r="A29" s="13" t="s">
        <v>19</v>
      </c>
      <c r="B29" s="7">
        <v>1</v>
      </c>
      <c r="C29" s="10">
        <v>7845.91</v>
      </c>
      <c r="D29" s="10">
        <f t="shared" si="15"/>
        <v>7845.91</v>
      </c>
      <c r="E29" s="12">
        <f t="shared" si="16"/>
        <v>7899.9999999999991</v>
      </c>
      <c r="F29" s="10">
        <f t="shared" ref="F29:G29" si="21">ROUNDUP(E29*1.04/1000,1)*1000</f>
        <v>8299.9999999999982</v>
      </c>
      <c r="G29" s="10">
        <f t="shared" si="21"/>
        <v>8700</v>
      </c>
    </row>
    <row r="30" spans="1:7" s="3" customFormat="1">
      <c r="A30" s="14" t="s">
        <v>20</v>
      </c>
      <c r="B30" s="6">
        <f>B23+B9</f>
        <v>251</v>
      </c>
      <c r="C30" s="8"/>
      <c r="D30" s="8">
        <f>D23+D9</f>
        <v>1971565.0999999999</v>
      </c>
      <c r="E30" s="8">
        <f>E23+E9</f>
        <v>1972400</v>
      </c>
      <c r="F30" s="8">
        <f t="shared" ref="F30:G30" si="22">F23+F9</f>
        <v>2052300</v>
      </c>
      <c r="G30" s="8">
        <f t="shared" si="22"/>
        <v>2135200</v>
      </c>
    </row>
    <row r="32" spans="1:7">
      <c r="E32" s="8">
        <v>1861500</v>
      </c>
    </row>
    <row r="33" spans="5:6">
      <c r="E33" s="8">
        <f>E32-E30</f>
        <v>-110900</v>
      </c>
      <c r="F33" s="2">
        <f>E33/C26</f>
        <v>-14.13475301144163</v>
      </c>
    </row>
    <row r="34" spans="5:6">
      <c r="E34" s="8"/>
    </row>
  </sheetData>
  <mergeCells count="2">
    <mergeCell ref="A4:G4"/>
    <mergeCell ref="A5:G5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3</vt:i4>
      </vt:variant>
    </vt:vector>
  </HeadingPairs>
  <TitlesOfParts>
    <vt:vector size="10" baseType="lpstr">
      <vt:lpstr>2018</vt:lpstr>
      <vt:lpstr>2019</vt:lpstr>
      <vt:lpstr>2020</vt:lpstr>
      <vt:lpstr>2021</vt:lpstr>
      <vt:lpstr>2022</vt:lpstr>
      <vt:lpstr>2023</vt:lpstr>
      <vt:lpstr>Лист1</vt:lpstr>
      <vt:lpstr>'2018'!Область_печати</vt:lpstr>
      <vt:lpstr>'2019'!Область_печати</vt:lpstr>
      <vt:lpstr>'2021'!Область_печати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Василий Киркин</dc:creator>
  <cp:lastModifiedBy>Киркин В.В.</cp:lastModifiedBy>
  <cp:lastPrinted>2020-10-21T09:45:38Z</cp:lastPrinted>
  <dcterms:created xsi:type="dcterms:W3CDTF">2018-03-30T13:22:47Z</dcterms:created>
  <dcterms:modified xsi:type="dcterms:W3CDTF">2020-10-21T10:18:50Z</dcterms:modified>
</cp:coreProperties>
</file>